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ОБЩИЕ документы по отделу\таблицы EXCEL для работы\неразрушайка\"/>
    </mc:Choice>
  </mc:AlternateContent>
  <bookViews>
    <workbookView xWindow="45" yWindow="105" windowWidth="9090" windowHeight="8535"/>
  </bookViews>
  <sheets>
    <sheet name="В25 28c База 25.10.21  " sheetId="22" r:id="rId1"/>
  </sheets>
  <definedNames>
    <definedName name="_xlnm.Print_Area" localSheetId="0">'В25 28c База 25.10.21  '!$A$1:$K$68</definedName>
  </definedNames>
  <calcPr calcId="162913"/>
</workbook>
</file>

<file path=xl/calcChain.xml><?xml version="1.0" encoding="utf-8"?>
<calcChain xmlns="http://schemas.openxmlformats.org/spreadsheetml/2006/main">
  <c r="S47" i="22" l="1"/>
  <c r="F47" i="22" s="1"/>
  <c r="AB47" i="22" s="1"/>
  <c r="R47" i="22"/>
  <c r="Q47" i="22"/>
  <c r="P47" i="22"/>
  <c r="O47" i="22"/>
  <c r="N47" i="22"/>
  <c r="M47" i="22"/>
  <c r="L47" i="22"/>
  <c r="D47" i="22"/>
  <c r="S46" i="22"/>
  <c r="F46" i="22" s="1"/>
  <c r="AA46" i="22" s="1"/>
  <c r="R46" i="22"/>
  <c r="Q46" i="22"/>
  <c r="P46" i="22"/>
  <c r="O46" i="22"/>
  <c r="N46" i="22"/>
  <c r="M46" i="22"/>
  <c r="L46" i="22"/>
  <c r="D46" i="22"/>
  <c r="S45" i="22"/>
  <c r="F45" i="22" s="1"/>
  <c r="AB45" i="22" s="1"/>
  <c r="R45" i="22"/>
  <c r="Q45" i="22"/>
  <c r="P45" i="22"/>
  <c r="O45" i="22"/>
  <c r="N45" i="22"/>
  <c r="M45" i="22"/>
  <c r="L45" i="22"/>
  <c r="D45" i="22"/>
  <c r="L43" i="22"/>
  <c r="O43" i="22" s="1"/>
  <c r="J29" i="22"/>
  <c r="J28" i="22"/>
  <c r="J27" i="22"/>
  <c r="J26" i="22"/>
  <c r="M44" i="22" s="1"/>
  <c r="J25" i="22"/>
  <c r="L23" i="22" s="1"/>
  <c r="J24" i="22"/>
  <c r="J23" i="22"/>
  <c r="J22" i="22"/>
  <c r="J21" i="22"/>
  <c r="J18" i="22"/>
  <c r="L44" i="22" l="1"/>
  <c r="O44" i="22" s="1"/>
  <c r="M43" i="22"/>
  <c r="J42" i="22"/>
  <c r="M42" i="22"/>
  <c r="L42" i="22"/>
  <c r="O42" i="22" s="1"/>
  <c r="L41" i="22"/>
  <c r="O41" i="22" s="1"/>
  <c r="L40" i="22"/>
  <c r="O40" i="22" s="1"/>
  <c r="N43" i="22"/>
  <c r="M41" i="22"/>
  <c r="M40" i="22"/>
  <c r="M36" i="22"/>
  <c r="M39" i="22"/>
  <c r="L37" i="22"/>
  <c r="O37" i="22" s="1"/>
  <c r="L36" i="22"/>
  <c r="O36" i="22" s="1"/>
  <c r="L39" i="22"/>
  <c r="L38" i="22"/>
  <c r="O38" i="22" s="1"/>
  <c r="M38" i="22"/>
  <c r="M37" i="22"/>
  <c r="L35" i="22"/>
  <c r="O35" i="22" s="1"/>
  <c r="M35" i="22"/>
  <c r="M34" i="22"/>
  <c r="L34" i="22"/>
  <c r="O34" i="22" s="1"/>
  <c r="L31" i="22"/>
  <c r="O31" i="22" s="1"/>
  <c r="L33" i="22"/>
  <c r="O33" i="22" s="1"/>
  <c r="L32" i="22"/>
  <c r="O32" i="22" s="1"/>
  <c r="M32" i="22"/>
  <c r="M33" i="22"/>
  <c r="M31" i="22"/>
  <c r="M30" i="22"/>
  <c r="L30" i="22"/>
  <c r="O30" i="22" s="1"/>
  <c r="M29" i="22"/>
  <c r="L27" i="22"/>
  <c r="O27" i="22" s="1"/>
  <c r="L29" i="22"/>
  <c r="O29" i="22" s="1"/>
  <c r="L28" i="22"/>
  <c r="O28" i="22" s="1"/>
  <c r="M28" i="22"/>
  <c r="L26" i="22"/>
  <c r="O26" i="22" s="1"/>
  <c r="L25" i="22"/>
  <c r="O25" i="22" s="1"/>
  <c r="M26" i="22"/>
  <c r="M27" i="22"/>
  <c r="M25" i="22"/>
  <c r="L24" i="22"/>
  <c r="O24" i="22" s="1"/>
  <c r="M21" i="22"/>
  <c r="M23" i="22"/>
  <c r="N23" i="22" s="1"/>
  <c r="M20" i="22"/>
  <c r="M22" i="22"/>
  <c r="M24" i="22"/>
  <c r="M18" i="22"/>
  <c r="M19" i="22"/>
  <c r="W46" i="22"/>
  <c r="U47" i="22"/>
  <c r="AC47" i="22"/>
  <c r="G47" i="22" s="1"/>
  <c r="AC45" i="22"/>
  <c r="G45" i="22" s="1"/>
  <c r="E47" i="22"/>
  <c r="E45" i="22"/>
  <c r="U45" i="22"/>
  <c r="Y45" i="22"/>
  <c r="Y47" i="22"/>
  <c r="O23" i="22"/>
  <c r="L18" i="22"/>
  <c r="L19" i="22"/>
  <c r="L20" i="22"/>
  <c r="L21" i="22"/>
  <c r="L22" i="22"/>
  <c r="Z46" i="22"/>
  <c r="V46" i="22"/>
  <c r="AC46" i="22"/>
  <c r="G46" i="22" s="1"/>
  <c r="Y46" i="22"/>
  <c r="U46" i="22"/>
  <c r="E46" i="22"/>
  <c r="AB46" i="22"/>
  <c r="X46" i="22"/>
  <c r="T46" i="22"/>
  <c r="V45" i="22"/>
  <c r="Z45" i="22"/>
  <c r="V47" i="22"/>
  <c r="Z47" i="22"/>
  <c r="W45" i="22"/>
  <c r="AA45" i="22"/>
  <c r="W47" i="22"/>
  <c r="AA47" i="22"/>
  <c r="T45" i="22"/>
  <c r="X45" i="22"/>
  <c r="T47" i="22"/>
  <c r="X47" i="22"/>
  <c r="N44" i="22" l="1"/>
  <c r="N41" i="22"/>
  <c r="N40" i="22"/>
  <c r="N42" i="22"/>
  <c r="N36" i="22"/>
  <c r="N37" i="22"/>
  <c r="O39" i="22"/>
  <c r="N39" i="22"/>
  <c r="N38" i="22"/>
  <c r="N35" i="22"/>
  <c r="N32" i="22"/>
  <c r="N34" i="22"/>
  <c r="N33" i="22"/>
  <c r="N31" i="22"/>
  <c r="N30" i="22"/>
  <c r="N27" i="22"/>
  <c r="N28" i="22"/>
  <c r="N29" i="22"/>
  <c r="N25" i="22"/>
  <c r="N26" i="22"/>
  <c r="N24" i="22"/>
  <c r="O19" i="22"/>
  <c r="N19" i="22"/>
  <c r="O22" i="22"/>
  <c r="N22" i="22"/>
  <c r="N18" i="22"/>
  <c r="O18" i="22"/>
  <c r="O21" i="22"/>
  <c r="N21" i="22"/>
  <c r="O20" i="22"/>
  <c r="N20" i="22"/>
  <c r="J19" i="22" l="1"/>
  <c r="J20" i="22" l="1"/>
  <c r="D18" i="22" s="1"/>
  <c r="D44" i="22" l="1"/>
  <c r="D43" i="22"/>
  <c r="P43" i="22" s="1"/>
  <c r="D42" i="22"/>
  <c r="D41" i="22"/>
  <c r="D40" i="22"/>
  <c r="D39" i="22"/>
  <c r="Q39" i="22" s="1"/>
  <c r="R39" i="22" s="1"/>
  <c r="D38" i="22"/>
  <c r="P38" i="22" s="1"/>
  <c r="D37" i="22"/>
  <c r="D36" i="22"/>
  <c r="D35" i="22"/>
  <c r="D34" i="22"/>
  <c r="P34" i="22" s="1"/>
  <c r="D33" i="22"/>
  <c r="P33" i="22" s="1"/>
  <c r="D32" i="22"/>
  <c r="D31" i="22"/>
  <c r="D30" i="22"/>
  <c r="D29" i="22"/>
  <c r="D28" i="22"/>
  <c r="D27" i="22"/>
  <c r="D26" i="22"/>
  <c r="D24" i="22"/>
  <c r="Q24" i="22" s="1"/>
  <c r="R24" i="22" s="1"/>
  <c r="D25" i="22"/>
  <c r="D23" i="22"/>
  <c r="Q23" i="22" s="1"/>
  <c r="R23" i="22" s="1"/>
  <c r="D22" i="22"/>
  <c r="Q22" i="22" s="1"/>
  <c r="R22" i="22" s="1"/>
  <c r="D20" i="22"/>
  <c r="Q20" i="22" s="1"/>
  <c r="R20" i="22" s="1"/>
  <c r="D21" i="22"/>
  <c r="P21" i="22" s="1"/>
  <c r="D19" i="22"/>
  <c r="Q18" i="22"/>
  <c r="P18" i="22"/>
  <c r="Q43" i="22" l="1"/>
  <c r="R43" i="22" s="1"/>
  <c r="Q44" i="22"/>
  <c r="R44" i="22" s="1"/>
  <c r="P44" i="22"/>
  <c r="P42" i="22"/>
  <c r="Q42" i="22"/>
  <c r="R42" i="22" s="1"/>
  <c r="Q38" i="22"/>
  <c r="R38" i="22" s="1"/>
  <c r="Q41" i="22"/>
  <c r="R41" i="22" s="1"/>
  <c r="P41" i="22"/>
  <c r="Q40" i="22"/>
  <c r="R40" i="22" s="1"/>
  <c r="P40" i="22"/>
  <c r="P39" i="22"/>
  <c r="Q37" i="22"/>
  <c r="R37" i="22" s="1"/>
  <c r="P37" i="22"/>
  <c r="Q36" i="22"/>
  <c r="R36" i="22" s="1"/>
  <c r="P36" i="22"/>
  <c r="Q35" i="22"/>
  <c r="R35" i="22" s="1"/>
  <c r="P35" i="22"/>
  <c r="Q34" i="22"/>
  <c r="R34" i="22" s="1"/>
  <c r="Q33" i="22"/>
  <c r="R33" i="22" s="1"/>
  <c r="Q32" i="22"/>
  <c r="R32" i="22" s="1"/>
  <c r="P32" i="22"/>
  <c r="Q31" i="22"/>
  <c r="R31" i="22" s="1"/>
  <c r="P31" i="22"/>
  <c r="Q30" i="22"/>
  <c r="R30" i="22" s="1"/>
  <c r="P30" i="22"/>
  <c r="Q29" i="22"/>
  <c r="R29" i="22" s="1"/>
  <c r="P29" i="22"/>
  <c r="P28" i="22"/>
  <c r="Q28" i="22"/>
  <c r="R28" i="22" s="1"/>
  <c r="Q27" i="22"/>
  <c r="R27" i="22" s="1"/>
  <c r="P27" i="22"/>
  <c r="Q26" i="22"/>
  <c r="R26" i="22" s="1"/>
  <c r="P26" i="22"/>
  <c r="P24" i="22"/>
  <c r="P23" i="22"/>
  <c r="Q25" i="22"/>
  <c r="R25" i="22" s="1"/>
  <c r="P25" i="22"/>
  <c r="P22" i="22"/>
  <c r="P20" i="22"/>
  <c r="Q21" i="22"/>
  <c r="R21" i="22" s="1"/>
  <c r="J17" i="22"/>
  <c r="K17" i="22" s="1"/>
  <c r="P19" i="22"/>
  <c r="Q19" i="22"/>
  <c r="R19" i="22" s="1"/>
  <c r="R18" i="22"/>
  <c r="S44" i="22" l="1"/>
  <c r="F44" i="22" s="1"/>
  <c r="S43" i="22"/>
  <c r="F43" i="22" s="1"/>
  <c r="S42" i="22"/>
  <c r="F42" i="22" s="1"/>
  <c r="S41" i="22"/>
  <c r="F41" i="22" s="1"/>
  <c r="S40" i="22"/>
  <c r="F40" i="22" s="1"/>
  <c r="S39" i="22"/>
  <c r="F39" i="22" s="1"/>
  <c r="S38" i="22"/>
  <c r="F38" i="22" s="1"/>
  <c r="S37" i="22"/>
  <c r="F37" i="22" s="1"/>
  <c r="S36" i="22"/>
  <c r="F36" i="22" s="1"/>
  <c r="S35" i="22"/>
  <c r="F35" i="22" s="1"/>
  <c r="S34" i="22"/>
  <c r="F34" i="22" s="1"/>
  <c r="S33" i="22"/>
  <c r="F33" i="22" s="1"/>
  <c r="S32" i="22"/>
  <c r="F32" i="22" s="1"/>
  <c r="S31" i="22"/>
  <c r="F31" i="22" s="1"/>
  <c r="S30" i="22"/>
  <c r="F30" i="22" s="1"/>
  <c r="S29" i="22"/>
  <c r="F29" i="22" s="1"/>
  <c r="S28" i="22"/>
  <c r="F28" i="22" s="1"/>
  <c r="S27" i="22"/>
  <c r="F27" i="22" s="1"/>
  <c r="S26" i="22"/>
  <c r="F26" i="22" s="1"/>
  <c r="S25" i="22"/>
  <c r="F25" i="22" s="1"/>
  <c r="S24" i="22"/>
  <c r="F24" i="22" s="1"/>
  <c r="S23" i="22"/>
  <c r="F23" i="22" s="1"/>
  <c r="T23" i="22" s="1"/>
  <c r="S21" i="22"/>
  <c r="F21" i="22" s="1"/>
  <c r="U21" i="22" s="1"/>
  <c r="S22" i="22"/>
  <c r="F22" i="22" s="1"/>
  <c r="J37" i="22"/>
  <c r="J31" i="22"/>
  <c r="J33" i="22" s="1"/>
  <c r="S19" i="22"/>
  <c r="F19" i="22" s="1"/>
  <c r="U19" i="22" s="1"/>
  <c r="S20" i="22"/>
  <c r="F20" i="22" s="1"/>
  <c r="T20" i="22" s="1"/>
  <c r="S18" i="22"/>
  <c r="F18" i="22" s="1"/>
  <c r="U23" i="22"/>
  <c r="T44" i="22" l="1"/>
  <c r="U44" i="22"/>
  <c r="T43" i="22"/>
  <c r="U43" i="22"/>
  <c r="U42" i="22"/>
  <c r="T42" i="22"/>
  <c r="T41" i="22"/>
  <c r="U41" i="22"/>
  <c r="U40" i="22"/>
  <c r="T40" i="22"/>
  <c r="U39" i="22"/>
  <c r="T39" i="22"/>
  <c r="U38" i="22"/>
  <c r="T38" i="22"/>
  <c r="U37" i="22"/>
  <c r="T37" i="22"/>
  <c r="U36" i="22"/>
  <c r="T36" i="22"/>
  <c r="T35" i="22"/>
  <c r="U35" i="22"/>
  <c r="U34" i="22"/>
  <c r="T34" i="22"/>
  <c r="U33" i="22"/>
  <c r="T33" i="22"/>
  <c r="T32" i="22"/>
  <c r="U32" i="22"/>
  <c r="U31" i="22"/>
  <c r="T31" i="22"/>
  <c r="U30" i="22"/>
  <c r="T30" i="22"/>
  <c r="U29" i="22"/>
  <c r="T29" i="22"/>
  <c r="U28" i="22"/>
  <c r="T28" i="22"/>
  <c r="U27" i="22"/>
  <c r="T27" i="22"/>
  <c r="T26" i="22"/>
  <c r="U26" i="22"/>
  <c r="T25" i="22"/>
  <c r="U25" i="22"/>
  <c r="U24" i="22"/>
  <c r="T24" i="22"/>
  <c r="U20" i="22"/>
  <c r="T21" i="22"/>
  <c r="U22" i="22"/>
  <c r="T22" i="22"/>
  <c r="T19" i="22"/>
  <c r="J35" i="22"/>
  <c r="J40" i="22" s="1"/>
  <c r="U18" i="22"/>
  <c r="T18" i="22"/>
  <c r="K27" i="22" l="1"/>
  <c r="K25" i="22"/>
  <c r="K24" i="22"/>
  <c r="M52" i="22" s="1"/>
  <c r="K23" i="22"/>
  <c r="M53" i="22" s="1"/>
  <c r="K29" i="22"/>
  <c r="K28" i="22"/>
  <c r="K26" i="22"/>
  <c r="K22" i="22"/>
  <c r="M60" i="22" s="1"/>
  <c r="K21" i="22"/>
  <c r="M61" i="22" s="1"/>
  <c r="V42" i="22" l="1"/>
  <c r="M51" i="22"/>
  <c r="W44" i="22"/>
  <c r="M59" i="22"/>
  <c r="T51" i="22"/>
  <c r="V44" i="22"/>
  <c r="W41" i="22"/>
  <c r="W43" i="22"/>
  <c r="V43" i="22"/>
  <c r="W42" i="22"/>
  <c r="X42" i="22" s="1"/>
  <c r="Y42" i="22"/>
  <c r="V40" i="22"/>
  <c r="V41" i="22"/>
  <c r="W39" i="22"/>
  <c r="W40" i="22"/>
  <c r="Y40" i="22"/>
  <c r="V38" i="22"/>
  <c r="Y38" i="22" s="1"/>
  <c r="V39" i="22"/>
  <c r="W37" i="22"/>
  <c r="W38" i="22"/>
  <c r="V36" i="22"/>
  <c r="Y36" i="22" s="1"/>
  <c r="V37" i="22"/>
  <c r="W33" i="22"/>
  <c r="W36" i="22"/>
  <c r="V30" i="22"/>
  <c r="Y30" i="22" s="1"/>
  <c r="V35" i="22"/>
  <c r="W35" i="22"/>
  <c r="W34" i="22"/>
  <c r="V34" i="22"/>
  <c r="V33" i="22"/>
  <c r="V32" i="22"/>
  <c r="W31" i="22"/>
  <c r="W32" i="22"/>
  <c r="V31" i="22"/>
  <c r="W29" i="22"/>
  <c r="W30" i="22"/>
  <c r="V28" i="22"/>
  <c r="Y28" i="22" s="1"/>
  <c r="V29" i="22"/>
  <c r="W26" i="22"/>
  <c r="W28" i="22"/>
  <c r="V26" i="22"/>
  <c r="Y26" i="22" s="1"/>
  <c r="V27" i="22"/>
  <c r="W27" i="22"/>
  <c r="W18" i="22"/>
  <c r="W25" i="22"/>
  <c r="V24" i="22"/>
  <c r="Y24" i="22" s="1"/>
  <c r="V25" i="22"/>
  <c r="W24" i="22"/>
  <c r="V19" i="22"/>
  <c r="V20" i="22"/>
  <c r="V23" i="22"/>
  <c r="V21" i="22"/>
  <c r="V22" i="22"/>
  <c r="V18" i="22"/>
  <c r="K42" i="22"/>
  <c r="W22" i="22"/>
  <c r="W19" i="22"/>
  <c r="W20" i="22"/>
  <c r="W21" i="22"/>
  <c r="W23" i="22"/>
  <c r="Q56" i="22" l="1"/>
  <c r="Q58" i="22"/>
  <c r="Q52" i="22"/>
  <c r="Q54" i="22"/>
  <c r="Q57" i="22"/>
  <c r="Q55" i="22"/>
  <c r="U55" i="22" s="1"/>
  <c r="Q53" i="22"/>
  <c r="Q51" i="22"/>
  <c r="U51" i="22" s="1"/>
  <c r="T55" i="22"/>
  <c r="Q63" i="22"/>
  <c r="Q59" i="22"/>
  <c r="Q66" i="22"/>
  <c r="Q62" i="22"/>
  <c r="Q65" i="22"/>
  <c r="Q61" i="22"/>
  <c r="Q64" i="22"/>
  <c r="Q60" i="22"/>
  <c r="T63" i="22"/>
  <c r="T59" i="22"/>
  <c r="X44" i="22"/>
  <c r="Y44" i="22"/>
  <c r="Y43" i="22"/>
  <c r="X43" i="22"/>
  <c r="X40" i="22"/>
  <c r="X41" i="22"/>
  <c r="Y41" i="22"/>
  <c r="X38" i="22"/>
  <c r="X39" i="22"/>
  <c r="Y39" i="22"/>
  <c r="X36" i="22"/>
  <c r="Y37" i="22"/>
  <c r="X37" i="22"/>
  <c r="X30" i="22"/>
  <c r="Y35" i="22"/>
  <c r="X35" i="22"/>
  <c r="X34" i="22"/>
  <c r="Y34" i="22"/>
  <c r="Y33" i="22"/>
  <c r="X33" i="22"/>
  <c r="Y32" i="22"/>
  <c r="X32" i="22"/>
  <c r="Y31" i="22"/>
  <c r="X31" i="22"/>
  <c r="X28" i="22"/>
  <c r="Y29" i="22"/>
  <c r="X29" i="22"/>
  <c r="X26" i="22"/>
  <c r="X27" i="22"/>
  <c r="Y27" i="22"/>
  <c r="Y25" i="22"/>
  <c r="X25" i="22"/>
  <c r="X24" i="22"/>
  <c r="Y18" i="22"/>
  <c r="X18" i="22"/>
  <c r="X20" i="22"/>
  <c r="Y20" i="22"/>
  <c r="X22" i="22"/>
  <c r="Y22" i="22"/>
  <c r="X19" i="22"/>
  <c r="Y19" i="22"/>
  <c r="X21" i="22"/>
  <c r="Y21" i="22"/>
  <c r="Y23" i="22"/>
  <c r="X23" i="22"/>
  <c r="V63" i="22" l="1"/>
  <c r="U63" i="22"/>
  <c r="W63" i="22" s="1"/>
  <c r="V59" i="22"/>
  <c r="U59" i="22"/>
  <c r="W59" i="22" s="1"/>
  <c r="V51" i="22"/>
  <c r="W51" i="22" s="1"/>
  <c r="V55" i="22"/>
  <c r="W55" i="22" s="1"/>
  <c r="K19" i="22"/>
  <c r="I43" i="22" l="1"/>
  <c r="K20" i="22"/>
  <c r="E22" i="22" s="1"/>
  <c r="Z22" i="22" s="1"/>
  <c r="AA22" i="22" s="1"/>
  <c r="AB22" i="22" s="1"/>
  <c r="AC22" i="22" s="1"/>
  <c r="G22" i="22" s="1"/>
  <c r="E44" i="22" l="1"/>
  <c r="Z44" i="22" s="1"/>
  <c r="AA44" i="22" s="1"/>
  <c r="AB44" i="22" s="1"/>
  <c r="AC44" i="22" s="1"/>
  <c r="G44" i="22" s="1"/>
  <c r="E43" i="22"/>
  <c r="Z43" i="22" s="1"/>
  <c r="AA43" i="22" s="1"/>
  <c r="AB43" i="22" s="1"/>
  <c r="AC43" i="22" s="1"/>
  <c r="G43" i="22" s="1"/>
  <c r="E42" i="22"/>
  <c r="Z42" i="22" s="1"/>
  <c r="AA42" i="22" s="1"/>
  <c r="AB42" i="22" s="1"/>
  <c r="AC42" i="22" s="1"/>
  <c r="G42" i="22" s="1"/>
  <c r="E41" i="22"/>
  <c r="Z41" i="22" s="1"/>
  <c r="AA41" i="22" s="1"/>
  <c r="AB41" i="22" s="1"/>
  <c r="AC41" i="22" s="1"/>
  <c r="G41" i="22" s="1"/>
  <c r="E40" i="22"/>
  <c r="Z40" i="22" s="1"/>
  <c r="AA40" i="22" s="1"/>
  <c r="AB40" i="22" s="1"/>
  <c r="AC40" i="22" s="1"/>
  <c r="G40" i="22" s="1"/>
  <c r="E39" i="22"/>
  <c r="Z39" i="22" s="1"/>
  <c r="AA39" i="22" s="1"/>
  <c r="AB39" i="22" s="1"/>
  <c r="AC39" i="22" s="1"/>
  <c r="G39" i="22" s="1"/>
  <c r="E38" i="22"/>
  <c r="Z38" i="22" s="1"/>
  <c r="AA38" i="22" s="1"/>
  <c r="AB38" i="22" s="1"/>
  <c r="AC38" i="22" s="1"/>
  <c r="G38" i="22" s="1"/>
  <c r="E37" i="22"/>
  <c r="Z37" i="22" s="1"/>
  <c r="AA37" i="22" s="1"/>
  <c r="AB37" i="22" s="1"/>
  <c r="AC37" i="22" s="1"/>
  <c r="G37" i="22" s="1"/>
  <c r="E36" i="22"/>
  <c r="Z36" i="22" s="1"/>
  <c r="AA36" i="22" s="1"/>
  <c r="AB36" i="22" s="1"/>
  <c r="AC36" i="22" s="1"/>
  <c r="G36" i="22" s="1"/>
  <c r="E35" i="22"/>
  <c r="Z35" i="22" s="1"/>
  <c r="AA35" i="22" s="1"/>
  <c r="AB35" i="22" s="1"/>
  <c r="AC35" i="22" s="1"/>
  <c r="G35" i="22" s="1"/>
  <c r="E34" i="22"/>
  <c r="Z34" i="22" s="1"/>
  <c r="AA34" i="22" s="1"/>
  <c r="AB34" i="22" s="1"/>
  <c r="AC34" i="22" s="1"/>
  <c r="G34" i="22" s="1"/>
  <c r="E33" i="22"/>
  <c r="Z33" i="22" s="1"/>
  <c r="AA33" i="22" s="1"/>
  <c r="AB33" i="22" s="1"/>
  <c r="AC33" i="22" s="1"/>
  <c r="G33" i="22" s="1"/>
  <c r="E32" i="22"/>
  <c r="Z32" i="22" s="1"/>
  <c r="AA32" i="22" s="1"/>
  <c r="AB32" i="22" s="1"/>
  <c r="AC32" i="22" s="1"/>
  <c r="G32" i="22" s="1"/>
  <c r="E31" i="22"/>
  <c r="Z31" i="22" s="1"/>
  <c r="AA31" i="22" s="1"/>
  <c r="AB31" i="22" s="1"/>
  <c r="AC31" i="22" s="1"/>
  <c r="G31" i="22" s="1"/>
  <c r="E30" i="22"/>
  <c r="Z30" i="22" s="1"/>
  <c r="AA30" i="22" s="1"/>
  <c r="AB30" i="22" s="1"/>
  <c r="AC30" i="22" s="1"/>
  <c r="G30" i="22" s="1"/>
  <c r="E29" i="22"/>
  <c r="Z29" i="22" s="1"/>
  <c r="AA29" i="22" s="1"/>
  <c r="AB29" i="22" s="1"/>
  <c r="AC29" i="22" s="1"/>
  <c r="G29" i="22" s="1"/>
  <c r="E28" i="22"/>
  <c r="Z28" i="22" s="1"/>
  <c r="AA28" i="22" s="1"/>
  <c r="AB28" i="22" s="1"/>
  <c r="AC28" i="22" s="1"/>
  <c r="G28" i="22" s="1"/>
  <c r="E27" i="22"/>
  <c r="Z27" i="22" s="1"/>
  <c r="AA27" i="22" s="1"/>
  <c r="AB27" i="22" s="1"/>
  <c r="AC27" i="22" s="1"/>
  <c r="G27" i="22" s="1"/>
  <c r="E26" i="22"/>
  <c r="Z26" i="22" s="1"/>
  <c r="AA26" i="22" s="1"/>
  <c r="AB26" i="22" s="1"/>
  <c r="AC26" i="22" s="1"/>
  <c r="G26" i="22" s="1"/>
  <c r="E25" i="22"/>
  <c r="Z25" i="22" s="1"/>
  <c r="AA25" i="22" s="1"/>
  <c r="AB25" i="22" s="1"/>
  <c r="AC25" i="22" s="1"/>
  <c r="G25" i="22" s="1"/>
  <c r="E24" i="22"/>
  <c r="Z24" i="22" s="1"/>
  <c r="AA24" i="22" s="1"/>
  <c r="AB24" i="22" s="1"/>
  <c r="AC24" i="22" s="1"/>
  <c r="G24" i="22" s="1"/>
  <c r="E23" i="22"/>
  <c r="Z23" i="22" s="1"/>
  <c r="AA23" i="22" s="1"/>
  <c r="AB23" i="22" s="1"/>
  <c r="AC23" i="22" s="1"/>
  <c r="G23" i="22" s="1"/>
  <c r="E18" i="22"/>
  <c r="Z18" i="22" s="1"/>
  <c r="AA18" i="22" s="1"/>
  <c r="AB18" i="22" s="1"/>
  <c r="AC18" i="22" s="1"/>
  <c r="E21" i="22"/>
  <c r="Z21" i="22" s="1"/>
  <c r="AA21" i="22" s="1"/>
  <c r="AB21" i="22" s="1"/>
  <c r="AC21" i="22" s="1"/>
  <c r="G21" i="22" s="1"/>
  <c r="E20" i="22"/>
  <c r="Z20" i="22" s="1"/>
  <c r="AA20" i="22" s="1"/>
  <c r="AB20" i="22" s="1"/>
  <c r="AC20" i="22" s="1"/>
  <c r="G20" i="22" s="1"/>
  <c r="E19" i="22"/>
  <c r="Z19" i="22" s="1"/>
  <c r="AA19" i="22" s="1"/>
  <c r="AB19" i="22" s="1"/>
  <c r="AC19" i="22" s="1"/>
  <c r="G19" i="22" s="1"/>
  <c r="G18" i="22" l="1"/>
  <c r="K35" i="22"/>
  <c r="K40" i="22" s="1"/>
  <c r="K18" i="22"/>
  <c r="K31" i="22" l="1"/>
  <c r="K33" i="22" s="1"/>
  <c r="K37" i="22"/>
</calcChain>
</file>

<file path=xl/comments1.xml><?xml version="1.0" encoding="utf-8"?>
<comments xmlns="http://schemas.openxmlformats.org/spreadsheetml/2006/main">
  <authors>
    <author>Долгов Алексей Владимирович</author>
  </authors>
  <commentList>
    <comment ref="B15" authorId="0" shapeId="0">
      <text>
        <r>
          <rPr>
            <sz val="12"/>
            <color indexed="81"/>
            <rFont val="Tahoma"/>
            <family val="2"/>
            <charset val="204"/>
          </rPr>
          <t>Х - прочность по универсальной зависисмости</t>
        </r>
      </text>
    </comment>
  </commentList>
</comments>
</file>

<file path=xl/sharedStrings.xml><?xml version="1.0" encoding="utf-8"?>
<sst xmlns="http://schemas.openxmlformats.org/spreadsheetml/2006/main" count="104" uniqueCount="89">
  <si>
    <t>Дата:</t>
  </si>
  <si>
    <t>Номер партии</t>
  </si>
  <si>
    <t>Показания прибора X</t>
  </si>
  <si>
    <t>Прочность, МПа</t>
  </si>
  <si>
    <t>|Yр-Y/Sт|</t>
  </si>
  <si>
    <t>Параметр</t>
  </si>
  <si>
    <t>Величина</t>
  </si>
  <si>
    <t>по кубам</t>
  </si>
  <si>
    <t>расчетная Ур</t>
  </si>
  <si>
    <t>до отбр</t>
  </si>
  <si>
    <t>после отбр</t>
  </si>
  <si>
    <t>до отбраковки</t>
  </si>
  <si>
    <t>После отбраковки</t>
  </si>
  <si>
    <t>после</t>
  </si>
  <si>
    <t>Исх.n(N)</t>
  </si>
  <si>
    <t>х-ср.х</t>
  </si>
  <si>
    <t>y-ср.у</t>
  </si>
  <si>
    <t>(х-ср.х)*(y-ср.у)</t>
  </si>
  <si>
    <t>(х-ср.х)2</t>
  </si>
  <si>
    <t>ур (расч)</t>
  </si>
  <si>
    <t>(ур-у)2</t>
  </si>
  <si>
    <t>!ур-у!</t>
  </si>
  <si>
    <t>!(ур-у)/ST!</t>
  </si>
  <si>
    <t>отбрак</t>
  </si>
  <si>
    <t>n</t>
  </si>
  <si>
    <t>a</t>
  </si>
  <si>
    <t>b</t>
  </si>
  <si>
    <t>макс.y</t>
  </si>
  <si>
    <t>мин.у</t>
  </si>
  <si>
    <t>макс.х</t>
  </si>
  <si>
    <t>мин.х</t>
  </si>
  <si>
    <t>ср.х</t>
  </si>
  <si>
    <t>ср.у</t>
  </si>
  <si>
    <r>
      <rPr>
        <sz val="12"/>
        <color theme="1"/>
        <rFont val="Times New Roman"/>
        <family val="1"/>
        <charset val="204"/>
      </rPr>
      <t>∑</t>
    </r>
    <r>
      <rPr>
        <sz val="12"/>
        <color theme="1"/>
        <rFont val="Times New Roman"/>
        <family val="1"/>
        <charset val="204"/>
      </rPr>
      <t>х</t>
    </r>
  </si>
  <si>
    <r>
      <rPr>
        <sz val="12"/>
        <color theme="1"/>
        <rFont val="Times New Roman"/>
        <family val="1"/>
        <charset val="204"/>
      </rPr>
      <t>∑</t>
    </r>
    <r>
      <rPr>
        <sz val="12"/>
        <color theme="1"/>
        <rFont val="Times New Roman"/>
        <family val="1"/>
        <charset val="204"/>
      </rPr>
      <t>у</t>
    </r>
  </si>
  <si>
    <t>коэфф.корелл, r</t>
  </si>
  <si>
    <t>Sт</t>
  </si>
  <si>
    <r>
      <rPr>
        <u/>
        <sz val="12"/>
        <color theme="1"/>
        <rFont val="Times New Roman"/>
        <family val="1"/>
        <charset val="204"/>
      </rPr>
      <t>Sт*100%</t>
    </r>
    <r>
      <rPr>
        <sz val="12"/>
        <color theme="1"/>
        <rFont val="Times New Roman"/>
        <family val="1"/>
        <charset val="204"/>
      </rPr>
      <t xml:space="preserve">    ср.у</t>
    </r>
  </si>
  <si>
    <t>норма(&lt;=15)</t>
  </si>
  <si>
    <t xml:space="preserve">макс. </t>
  </si>
  <si>
    <t>|(yp-y)/Sт|</t>
  </si>
  <si>
    <t>норма(&lt;=2)</t>
  </si>
  <si>
    <t>отбраковано замеров, шт</t>
  </si>
  <si>
    <t>результат проверки</t>
  </si>
  <si>
    <t>вывод:</t>
  </si>
  <si>
    <t>Зависимость:</t>
  </si>
  <si>
    <t>y = a*x+b</t>
  </si>
  <si>
    <t>Предприятие-изготовитель бетонной смеси:</t>
  </si>
  <si>
    <t>Возраст бетона:</t>
  </si>
  <si>
    <t xml:space="preserve">Испытанные образцы: </t>
  </si>
  <si>
    <t>После отбраковки для линии тренда</t>
  </si>
  <si>
    <t>Скопировать из двух столбцов 1 и 2 диапазоном значения и вставить в 3, 4 весь диапазон специальной вставкой "встаивть значения". После очистить через del пустые ячейки в столбцах 3 и 4 (иначе видит как заполненные ячейки и принимает за нули)</t>
  </si>
  <si>
    <t xml:space="preserve">ГРАДУИРОВОЧНАЯ КОРРЕЛЯЦИОННАЯ ЗАВИСИМОСТЬ </t>
  </si>
  <si>
    <t>-</t>
  </si>
  <si>
    <t>показание прибора</t>
  </si>
  <si>
    <t>нормальные условия</t>
  </si>
  <si>
    <r>
      <t>S</t>
    </r>
    <r>
      <rPr>
        <vertAlign val="subscript"/>
        <sz val="12"/>
        <color theme="1"/>
        <rFont val="Times New Roman"/>
        <family val="1"/>
        <charset val="204"/>
      </rPr>
      <t>4</t>
    </r>
    <r>
      <rPr>
        <sz val="12"/>
        <color theme="1"/>
        <rFont val="Times New Roman"/>
        <family val="1"/>
        <charset val="204"/>
      </rPr>
      <t>, МПа</t>
    </r>
  </si>
  <si>
    <t>Протокол не может быть воспроизведен полностью или частично без письменного разрешения испытательной лаборатории</t>
  </si>
  <si>
    <t xml:space="preserve"> по ГОСТ 22690-2015, ГОСТ 18105-2018</t>
  </si>
  <si>
    <t>СТРОИТЕЛЬНАЯ ЛАБОРАТОРИЯ Мостоотряд-41</t>
  </si>
  <si>
    <t>Чувашская республика, г.Чебоксары, проезд Лапсарский, д.41</t>
  </si>
  <si>
    <t>Значения</t>
  </si>
  <si>
    <t>Нижний</t>
  </si>
  <si>
    <t>Верхний</t>
  </si>
  <si>
    <t>Выбор диапазона</t>
  </si>
  <si>
    <t>Данные п.6.1.7 гост 22690-2015</t>
  </si>
  <si>
    <t>Э/Среднее</t>
  </si>
  <si>
    <t>Условие</t>
  </si>
  <si>
    <t>ср Х</t>
  </si>
  <si>
    <t>Минимальное показание прибора</t>
  </si>
  <si>
    <t>мин Х</t>
  </si>
  <si>
    <t>макс Х</t>
  </si>
  <si>
    <t>Максимальное показание прибора</t>
  </si>
  <si>
    <t>ср Y</t>
  </si>
  <si>
    <t>Минимальное показание образца</t>
  </si>
  <si>
    <t>мин Y</t>
  </si>
  <si>
    <t>макс Y</t>
  </si>
  <si>
    <t>Максимальное показание образца</t>
  </si>
  <si>
    <t>Условия отклонений значений</t>
  </si>
  <si>
    <t>X</t>
  </si>
  <si>
    <t>Y</t>
  </si>
  <si>
    <t>прочность образцов</t>
  </si>
  <si>
    <t>Бетон В___ по карте подбора №_________</t>
  </si>
  <si>
    <t>Склерометр ИПС-МГ4.01 зав.№_______ свидетельство о поверке №_______________ до ___.__.202_ г.</t>
  </si>
  <si>
    <t>__________________</t>
  </si>
  <si>
    <t>___</t>
  </si>
  <si>
    <t>Аттестат Аттестат аккредитации испытательной лаборатории № __________________ от __.__.202_ г.</t>
  </si>
  <si>
    <t>________________</t>
  </si>
  <si>
    <t>/ФИО/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</si>
</sst>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"/>
    <numFmt numFmtId="166" formatCode="0.0000"/>
  </numFmts>
  <fonts count="22" x14ac:knownFonts="1">
    <font>
      <sz val="12"/>
      <color theme="1"/>
      <name val="Times New Roman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color indexed="81"/>
      <name val="Tahoma"/>
      <family val="2"/>
      <charset val="204"/>
    </font>
    <font>
      <vertAlign val="subscript"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21" fillId="0" borderId="0"/>
  </cellStyleXfs>
  <cellXfs count="121">
    <xf numFmtId="0" fontId="0" fillId="0" borderId="0" xfId="0"/>
    <xf numFmtId="0" fontId="0" fillId="0" borderId="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5" fontId="0" fillId="0" borderId="6" xfId="0" applyNumberFormat="1" applyBorder="1" applyAlignment="1">
      <alignment horizontal="center" vertical="center" wrapText="1"/>
    </xf>
    <xf numFmtId="2" fontId="0" fillId="0" borderId="6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166" fontId="0" fillId="0" borderId="7" xfId="0" applyNumberFormat="1" applyBorder="1" applyAlignment="1">
      <alignment horizontal="center" vertical="center" wrapText="1"/>
    </xf>
    <xf numFmtId="166" fontId="0" fillId="0" borderId="0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right" vertical="center" wrapText="1"/>
    </xf>
    <xf numFmtId="14" fontId="0" fillId="0" borderId="0" xfId="0" applyNumberFormat="1" applyBorder="1" applyAlignment="1">
      <alignment horizontal="center" vertical="center" wrapText="1"/>
    </xf>
    <xf numFmtId="2" fontId="0" fillId="2" borderId="0" xfId="0" applyNumberFormat="1" applyFill="1" applyAlignment="1">
      <alignment horizontal="center" vertical="center" wrapText="1"/>
    </xf>
    <xf numFmtId="164" fontId="0" fillId="0" borderId="6" xfId="0" applyNumberForma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66" fontId="0" fillId="2" borderId="0" xfId="0" applyNumberFormat="1" applyFill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2" fontId="7" fillId="3" borderId="0" xfId="0" applyNumberFormat="1" applyFont="1" applyFill="1" applyAlignment="1">
      <alignment horizontal="center" vertical="center" wrapText="1"/>
    </xf>
    <xf numFmtId="2" fontId="7" fillId="0" borderId="0" xfId="0" applyNumberFormat="1" applyFont="1" applyFill="1" applyAlignment="1">
      <alignment horizontal="center" vertical="center" wrapText="1"/>
    </xf>
    <xf numFmtId="166" fontId="7" fillId="3" borderId="0" xfId="0" applyNumberFormat="1" applyFont="1" applyFill="1" applyAlignment="1">
      <alignment horizontal="center" vertical="center" wrapText="1"/>
    </xf>
    <xf numFmtId="166" fontId="7" fillId="0" borderId="0" xfId="0" applyNumberFormat="1" applyFont="1" applyFill="1" applyAlignment="1">
      <alignment horizontal="center" vertical="center" wrapText="1"/>
    </xf>
    <xf numFmtId="0" fontId="4" fillId="0" borderId="0" xfId="0" applyFont="1" applyFill="1"/>
    <xf numFmtId="0" fontId="9" fillId="0" borderId="0" xfId="0" applyFont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0" fontId="4" fillId="6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165" fontId="2" fillId="0" borderId="6" xfId="1" applyNumberFormat="1" applyBorder="1" applyAlignment="1">
      <alignment horizontal="center"/>
    </xf>
    <xf numFmtId="0" fontId="3" fillId="0" borderId="0" xfId="0" applyFont="1" applyBorder="1" applyAlignment="1">
      <alignment vertical="center" wrapText="1"/>
    </xf>
    <xf numFmtId="0" fontId="0" fillId="7" borderId="0" xfId="0" applyFill="1"/>
    <xf numFmtId="0" fontId="0" fillId="7" borderId="0" xfId="0" applyFill="1" applyAlignment="1">
      <alignment horizontal="center"/>
    </xf>
    <xf numFmtId="0" fontId="12" fillId="0" borderId="0" xfId="0" applyFont="1" applyAlignment="1">
      <alignment horizontal="center" vertical="center"/>
    </xf>
    <xf numFmtId="0" fontId="13" fillId="7" borderId="0" xfId="0" applyFont="1" applyFill="1" applyAlignment="1">
      <alignment horizontal="center"/>
    </xf>
    <xf numFmtId="165" fontId="14" fillId="0" borderId="6" xfId="0" applyNumberFormat="1" applyFont="1" applyBorder="1" applyAlignment="1">
      <alignment horizontal="center" vertical="center"/>
    </xf>
    <xf numFmtId="165" fontId="0" fillId="4" borderId="6" xfId="0" applyNumberForma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65" fontId="1" fillId="0" borderId="6" xfId="1" applyNumberFormat="1" applyFont="1" applyBorder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9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14" fontId="10" fillId="0" borderId="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7" fillId="7" borderId="0" xfId="1" applyFont="1" applyFill="1" applyAlignment="1" applyProtection="1">
      <alignment horizontal="left"/>
      <protection locked="0"/>
    </xf>
    <xf numFmtId="0" fontId="0" fillId="8" borderId="0" xfId="0" applyFill="1"/>
    <xf numFmtId="0" fontId="18" fillId="8" borderId="0" xfId="0" applyFont="1" applyFill="1" applyBorder="1" applyAlignment="1"/>
    <xf numFmtId="0" fontId="19" fillId="8" borderId="0" xfId="0" applyFont="1" applyFill="1"/>
    <xf numFmtId="0" fontId="20" fillId="8" borderId="0" xfId="0" applyFont="1" applyFill="1"/>
    <xf numFmtId="0" fontId="14" fillId="8" borderId="0" xfId="0" applyFont="1" applyFill="1" applyBorder="1" applyAlignment="1"/>
    <xf numFmtId="0" fontId="4" fillId="0" borderId="0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0" borderId="5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4" xfId="0" applyBorder="1"/>
    <xf numFmtId="0" fontId="0" fillId="0" borderId="0" xfId="0" applyBorder="1"/>
    <xf numFmtId="0" fontId="0" fillId="0" borderId="15" xfId="0" applyBorder="1"/>
    <xf numFmtId="0" fontId="0" fillId="0" borderId="11" xfId="0" applyBorder="1"/>
    <xf numFmtId="0" fontId="0" fillId="0" borderId="13" xfId="0" applyBorder="1"/>
    <xf numFmtId="0" fontId="0" fillId="0" borderId="12" xfId="0" applyBorder="1"/>
    <xf numFmtId="0" fontId="0" fillId="0" borderId="0" xfId="0" applyAlignment="1">
      <alignment shrinkToFit="1"/>
    </xf>
    <xf numFmtId="0" fontId="0" fillId="0" borderId="6" xfId="0" applyBorder="1" applyAlignment="1">
      <alignment shrinkToFit="1"/>
    </xf>
    <xf numFmtId="0" fontId="0" fillId="0" borderId="6" xfId="0" applyBorder="1"/>
    <xf numFmtId="0" fontId="0" fillId="0" borderId="1" xfId="0" applyBorder="1" applyAlignment="1">
      <alignment shrinkToFit="1"/>
    </xf>
    <xf numFmtId="165" fontId="0" fillId="0" borderId="6" xfId="0" applyNumberFormat="1" applyBorder="1"/>
    <xf numFmtId="0" fontId="18" fillId="8" borderId="0" xfId="0" applyFont="1" applyFill="1" applyBorder="1" applyAlignment="1">
      <alignment horizontal="right"/>
    </xf>
    <xf numFmtId="0" fontId="9" fillId="0" borderId="0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7" fillId="8" borderId="0" xfId="0" applyFont="1" applyFill="1" applyAlignment="1">
      <alignment vertical="center" wrapText="1"/>
    </xf>
    <xf numFmtId="0" fontId="7" fillId="0" borderId="0" xfId="0" applyFont="1" applyAlignment="1">
      <alignment wrapText="1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0" borderId="5" xfId="0" applyNumberFormat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164" fontId="0" fillId="0" borderId="1" xfId="0" applyNumberForma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0" fillId="0" borderId="7" xfId="0" applyBorder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4" fillId="0" borderId="0" xfId="0" applyFont="1" applyAlignment="1">
      <alignment horizontal="center" vertical="center" wrapText="1"/>
    </xf>
    <xf numFmtId="0" fontId="0" fillId="0" borderId="6" xfId="0" applyBorder="1" applyAlignment="1">
      <alignment horizontal="center" shrinkToFit="1"/>
    </xf>
    <xf numFmtId="0" fontId="0" fillId="0" borderId="1" xfId="0" applyBorder="1" applyAlignment="1">
      <alignment horizontal="center" shrinkToFit="1"/>
    </xf>
    <xf numFmtId="0" fontId="9" fillId="0" borderId="1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</cellXfs>
  <cellStyles count="3">
    <cellStyle name="Обычный" xfId="0" builtinId="0"/>
    <cellStyle name="Обычный 2" xfId="1"/>
    <cellStyle name="Обычный 2 2" xfId="2"/>
  </cellStyles>
  <dxfs count="4"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</dxfs>
  <tableStyles count="0" defaultTableStyle="TableStyleMedium2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942405398203604E-2"/>
          <c:y val="0.13671153292668201"/>
          <c:w val="0.85565232797685198"/>
          <c:h val="0.69284658199407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0"/>
            <c:dispEq val="1"/>
            <c:trendlineLbl>
              <c:layout>
                <c:manualLayout>
                  <c:x val="1.1319591744517878E-2"/>
                  <c:y val="0.24467286799059473"/>
                </c:manualLayout>
              </c:layout>
              <c:numFmt formatCode="#,##0.00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1400" b="1"/>
                  </a:pPr>
                  <a:endParaRPr lang="ru-RU"/>
                </a:p>
              </c:txPr>
            </c:trendlineLbl>
          </c:trendline>
          <c:xVal>
            <c:numRef>
              <c:f>'В25 28c База 25.10.21  '!$AD$18:$AD$47</c:f>
              <c:numCache>
                <c:formatCode>General</c:formatCode>
                <c:ptCount val="30"/>
                <c:pt idx="0">
                  <c:v>34.299999999999997</c:v>
                </c:pt>
                <c:pt idx="1">
                  <c:v>34.299999999999997</c:v>
                </c:pt>
                <c:pt idx="2">
                  <c:v>31.3</c:v>
                </c:pt>
                <c:pt idx="3">
                  <c:v>33.5</c:v>
                </c:pt>
                <c:pt idx="4">
                  <c:v>33.9</c:v>
                </c:pt>
                <c:pt idx="5">
                  <c:v>35.6</c:v>
                </c:pt>
                <c:pt idx="6">
                  <c:v>33.299999999999997</c:v>
                </c:pt>
                <c:pt idx="7">
                  <c:v>30.6</c:v>
                </c:pt>
                <c:pt idx="8">
                  <c:v>31.5</c:v>
                </c:pt>
                <c:pt idx="9">
                  <c:v>30</c:v>
                </c:pt>
                <c:pt idx="10">
                  <c:v>29</c:v>
                </c:pt>
                <c:pt idx="11">
                  <c:v>31.6</c:v>
                </c:pt>
                <c:pt idx="12" formatCode="0.0">
                  <c:v>33.299999999999997</c:v>
                </c:pt>
                <c:pt idx="13" formatCode="0.0">
                  <c:v>32.4</c:v>
                </c:pt>
                <c:pt idx="14" formatCode="0.0">
                  <c:v>34</c:v>
                </c:pt>
                <c:pt idx="15" formatCode="0.0">
                  <c:v>32.1</c:v>
                </c:pt>
                <c:pt idx="16" formatCode="0.0">
                  <c:v>31.7</c:v>
                </c:pt>
                <c:pt idx="17" formatCode="0.0">
                  <c:v>33.9</c:v>
                </c:pt>
                <c:pt idx="18" formatCode="0.0">
                  <c:v>35</c:v>
                </c:pt>
                <c:pt idx="19" formatCode="0.0">
                  <c:v>32.1</c:v>
                </c:pt>
                <c:pt idx="20" formatCode="0.0">
                  <c:v>30.9</c:v>
                </c:pt>
                <c:pt idx="21" formatCode="0.0">
                  <c:v>32.1</c:v>
                </c:pt>
                <c:pt idx="22" formatCode="0.0">
                  <c:v>33.4</c:v>
                </c:pt>
                <c:pt idx="23" formatCode="0.0">
                  <c:v>34.9</c:v>
                </c:pt>
                <c:pt idx="24" formatCode="0.0">
                  <c:v>35.299999999999997</c:v>
                </c:pt>
                <c:pt idx="25" formatCode="0.0">
                  <c:v>37.4</c:v>
                </c:pt>
                <c:pt idx="26" formatCode="0.0">
                  <c:v>37.299999999999997</c:v>
                </c:pt>
              </c:numCache>
            </c:numRef>
          </c:xVal>
          <c:yVal>
            <c:numRef>
              <c:f>'В25 28c База 25.10.21  '!$AE$18:$AE$47</c:f>
              <c:numCache>
                <c:formatCode>General</c:formatCode>
                <c:ptCount val="30"/>
                <c:pt idx="0">
                  <c:v>52.1</c:v>
                </c:pt>
                <c:pt idx="1">
                  <c:v>49.6</c:v>
                </c:pt>
                <c:pt idx="2">
                  <c:v>42.3</c:v>
                </c:pt>
                <c:pt idx="3">
                  <c:v>49</c:v>
                </c:pt>
                <c:pt idx="4">
                  <c:v>49.3</c:v>
                </c:pt>
                <c:pt idx="5">
                  <c:v>48.1</c:v>
                </c:pt>
                <c:pt idx="6">
                  <c:v>46.4</c:v>
                </c:pt>
                <c:pt idx="7">
                  <c:v>41.6</c:v>
                </c:pt>
                <c:pt idx="8">
                  <c:v>44.8</c:v>
                </c:pt>
                <c:pt idx="9">
                  <c:v>44.1</c:v>
                </c:pt>
                <c:pt idx="10">
                  <c:v>44.1</c:v>
                </c:pt>
                <c:pt idx="11">
                  <c:v>43.3</c:v>
                </c:pt>
                <c:pt idx="12" formatCode="0.0">
                  <c:v>44.5</c:v>
                </c:pt>
                <c:pt idx="13" formatCode="0.0">
                  <c:v>48.7</c:v>
                </c:pt>
                <c:pt idx="14" formatCode="0.0">
                  <c:v>51.2</c:v>
                </c:pt>
                <c:pt idx="15" formatCode="0.0">
                  <c:v>48.5</c:v>
                </c:pt>
                <c:pt idx="16" formatCode="0.0">
                  <c:v>44</c:v>
                </c:pt>
                <c:pt idx="17" formatCode="0.0">
                  <c:v>49.6</c:v>
                </c:pt>
                <c:pt idx="18" formatCode="0.0">
                  <c:v>47.3</c:v>
                </c:pt>
                <c:pt idx="19" formatCode="0.0">
                  <c:v>48.2</c:v>
                </c:pt>
                <c:pt idx="20" formatCode="0.0">
                  <c:v>44.2</c:v>
                </c:pt>
                <c:pt idx="21" formatCode="0.0">
                  <c:v>48.8</c:v>
                </c:pt>
                <c:pt idx="22" formatCode="0.0">
                  <c:v>49.4</c:v>
                </c:pt>
                <c:pt idx="23" formatCode="0.0">
                  <c:v>50.4</c:v>
                </c:pt>
                <c:pt idx="24" formatCode="0.0">
                  <c:v>47.7</c:v>
                </c:pt>
                <c:pt idx="25" formatCode="0.0">
                  <c:v>57.4</c:v>
                </c:pt>
                <c:pt idx="26" formatCode="0.0">
                  <c:v>56.8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1CA-4221-A7F5-A5624A8CBABC}"/>
            </c:ext>
          </c:extLst>
        </c:ser>
        <c:ser>
          <c:idx val="1"/>
          <c:order val="1"/>
          <c:spPr>
            <a:ln w="28575">
              <a:noFill/>
            </a:ln>
          </c:spPr>
          <c:xVal>
            <c:numRef>
              <c:f>'В25 28c База 25.10.21  '!$AD$18:$AD$47</c:f>
              <c:numCache>
                <c:formatCode>General</c:formatCode>
                <c:ptCount val="30"/>
                <c:pt idx="0">
                  <c:v>34.299999999999997</c:v>
                </c:pt>
                <c:pt idx="1">
                  <c:v>34.299999999999997</c:v>
                </c:pt>
                <c:pt idx="2">
                  <c:v>31.3</c:v>
                </c:pt>
                <c:pt idx="3">
                  <c:v>33.5</c:v>
                </c:pt>
                <c:pt idx="4">
                  <c:v>33.9</c:v>
                </c:pt>
                <c:pt idx="5">
                  <c:v>35.6</c:v>
                </c:pt>
                <c:pt idx="6">
                  <c:v>33.299999999999997</c:v>
                </c:pt>
                <c:pt idx="7">
                  <c:v>30.6</c:v>
                </c:pt>
                <c:pt idx="8">
                  <c:v>31.5</c:v>
                </c:pt>
                <c:pt idx="9">
                  <c:v>30</c:v>
                </c:pt>
                <c:pt idx="10">
                  <c:v>29</c:v>
                </c:pt>
                <c:pt idx="11">
                  <c:v>31.6</c:v>
                </c:pt>
                <c:pt idx="12" formatCode="0.0">
                  <c:v>33.299999999999997</c:v>
                </c:pt>
                <c:pt idx="13" formatCode="0.0">
                  <c:v>32.4</c:v>
                </c:pt>
                <c:pt idx="14" formatCode="0.0">
                  <c:v>34</c:v>
                </c:pt>
                <c:pt idx="15" formatCode="0.0">
                  <c:v>32.1</c:v>
                </c:pt>
                <c:pt idx="16" formatCode="0.0">
                  <c:v>31.7</c:v>
                </c:pt>
                <c:pt idx="17" formatCode="0.0">
                  <c:v>33.9</c:v>
                </c:pt>
                <c:pt idx="18" formatCode="0.0">
                  <c:v>35</c:v>
                </c:pt>
                <c:pt idx="19" formatCode="0.0">
                  <c:v>32.1</c:v>
                </c:pt>
                <c:pt idx="20" formatCode="0.0">
                  <c:v>30.9</c:v>
                </c:pt>
                <c:pt idx="21" formatCode="0.0">
                  <c:v>32.1</c:v>
                </c:pt>
                <c:pt idx="22" formatCode="0.0">
                  <c:v>33.4</c:v>
                </c:pt>
                <c:pt idx="23" formatCode="0.0">
                  <c:v>34.9</c:v>
                </c:pt>
                <c:pt idx="24" formatCode="0.0">
                  <c:v>35.299999999999997</c:v>
                </c:pt>
                <c:pt idx="25" formatCode="0.0">
                  <c:v>37.4</c:v>
                </c:pt>
                <c:pt idx="26" formatCode="0.0">
                  <c:v>37.299999999999997</c:v>
                </c:pt>
              </c:numCache>
            </c:numRef>
          </c:xVal>
          <c:yVal>
            <c:numRef>
              <c:f>'В25 28c База 25.10.21  '!$T$18:$T$29</c:f>
              <c:numCache>
                <c:formatCode>General</c:formatCode>
                <c:ptCount val="12"/>
                <c:pt idx="0">
                  <c:v>34.299999999999997</c:v>
                </c:pt>
                <c:pt idx="1">
                  <c:v>34.299999999999997</c:v>
                </c:pt>
                <c:pt idx="2">
                  <c:v>31.3</c:v>
                </c:pt>
                <c:pt idx="3">
                  <c:v>33.5</c:v>
                </c:pt>
                <c:pt idx="4">
                  <c:v>33.9</c:v>
                </c:pt>
                <c:pt idx="5">
                  <c:v>35.6</c:v>
                </c:pt>
                <c:pt idx="6">
                  <c:v>33.299999999999997</c:v>
                </c:pt>
                <c:pt idx="7">
                  <c:v>30.6</c:v>
                </c:pt>
                <c:pt idx="8">
                  <c:v>31.5</c:v>
                </c:pt>
                <c:pt idx="9">
                  <c:v>30</c:v>
                </c:pt>
                <c:pt idx="10">
                  <c:v>29</c:v>
                </c:pt>
                <c:pt idx="11">
                  <c:v>31.6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1CA-4221-A7F5-A5624A8CBABC}"/>
            </c:ext>
          </c:extLst>
        </c:ser>
        <c:ser>
          <c:idx val="3"/>
          <c:order val="2"/>
          <c:spPr>
            <a:ln w="28575">
              <a:noFill/>
            </a:ln>
          </c:spPr>
          <c:xVal>
            <c:numRef>
              <c:f>'В25 28c База 25.10.21  '!$AD$18:$AD$47</c:f>
              <c:numCache>
                <c:formatCode>General</c:formatCode>
                <c:ptCount val="30"/>
                <c:pt idx="0">
                  <c:v>34.299999999999997</c:v>
                </c:pt>
                <c:pt idx="1">
                  <c:v>34.299999999999997</c:v>
                </c:pt>
                <c:pt idx="2">
                  <c:v>31.3</c:v>
                </c:pt>
                <c:pt idx="3">
                  <c:v>33.5</c:v>
                </c:pt>
                <c:pt idx="4">
                  <c:v>33.9</c:v>
                </c:pt>
                <c:pt idx="5">
                  <c:v>35.6</c:v>
                </c:pt>
                <c:pt idx="6">
                  <c:v>33.299999999999997</c:v>
                </c:pt>
                <c:pt idx="7">
                  <c:v>30.6</c:v>
                </c:pt>
                <c:pt idx="8">
                  <c:v>31.5</c:v>
                </c:pt>
                <c:pt idx="9">
                  <c:v>30</c:v>
                </c:pt>
                <c:pt idx="10">
                  <c:v>29</c:v>
                </c:pt>
                <c:pt idx="11">
                  <c:v>31.6</c:v>
                </c:pt>
                <c:pt idx="12" formatCode="0.0">
                  <c:v>33.299999999999997</c:v>
                </c:pt>
                <c:pt idx="13" formatCode="0.0">
                  <c:v>32.4</c:v>
                </c:pt>
                <c:pt idx="14" formatCode="0.0">
                  <c:v>34</c:v>
                </c:pt>
                <c:pt idx="15" formatCode="0.0">
                  <c:v>32.1</c:v>
                </c:pt>
                <c:pt idx="16" formatCode="0.0">
                  <c:v>31.7</c:v>
                </c:pt>
                <c:pt idx="17" formatCode="0.0">
                  <c:v>33.9</c:v>
                </c:pt>
                <c:pt idx="18" formatCode="0.0">
                  <c:v>35</c:v>
                </c:pt>
                <c:pt idx="19" formatCode="0.0">
                  <c:v>32.1</c:v>
                </c:pt>
                <c:pt idx="20" formatCode="0.0">
                  <c:v>30.9</c:v>
                </c:pt>
                <c:pt idx="21" formatCode="0.0">
                  <c:v>32.1</c:v>
                </c:pt>
                <c:pt idx="22" formatCode="0.0">
                  <c:v>33.4</c:v>
                </c:pt>
                <c:pt idx="23" formatCode="0.0">
                  <c:v>34.9</c:v>
                </c:pt>
                <c:pt idx="24" formatCode="0.0">
                  <c:v>35.299999999999997</c:v>
                </c:pt>
                <c:pt idx="25" formatCode="0.0">
                  <c:v>37.4</c:v>
                </c:pt>
                <c:pt idx="26" formatCode="0.0">
                  <c:v>37.299999999999997</c:v>
                </c:pt>
              </c:numCache>
            </c:numRef>
          </c:xVal>
          <c:yVal>
            <c:numRef>
              <c:f>'В25 28c База 25.10.21  '!$T$18:$T$29</c:f>
              <c:numCache>
                <c:formatCode>General</c:formatCode>
                <c:ptCount val="12"/>
                <c:pt idx="0">
                  <c:v>34.299999999999997</c:v>
                </c:pt>
                <c:pt idx="1">
                  <c:v>34.299999999999997</c:v>
                </c:pt>
                <c:pt idx="2">
                  <c:v>31.3</c:v>
                </c:pt>
                <c:pt idx="3">
                  <c:v>33.5</c:v>
                </c:pt>
                <c:pt idx="4">
                  <c:v>33.9</c:v>
                </c:pt>
                <c:pt idx="5">
                  <c:v>35.6</c:v>
                </c:pt>
                <c:pt idx="6">
                  <c:v>33.299999999999997</c:v>
                </c:pt>
                <c:pt idx="7">
                  <c:v>30.6</c:v>
                </c:pt>
                <c:pt idx="8">
                  <c:v>31.5</c:v>
                </c:pt>
                <c:pt idx="9">
                  <c:v>30</c:v>
                </c:pt>
                <c:pt idx="10">
                  <c:v>29</c:v>
                </c:pt>
                <c:pt idx="11">
                  <c:v>31.6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1CA-4221-A7F5-A5624A8CB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496704"/>
        <c:axId val="80913152"/>
      </c:scatterChart>
      <c:valAx>
        <c:axId val="79496704"/>
        <c:scaling>
          <c:orientation val="minMax"/>
          <c:min val="28.5"/>
        </c:scaling>
        <c:delete val="0"/>
        <c:axPos val="b"/>
        <c:majorGridlines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tint val="50000"/>
                </a:schemeClr>
              </a:solidFill>
              <a:prstDash val="solid"/>
            </a:ln>
            <a:effectLst/>
          </c:spPr>
        </c:minorGridlines>
        <c:title>
          <c:tx>
            <c:rich>
              <a:bodyPr vertOverflow="ellipsis" anchor="ctr" anchorCtr="1"/>
              <a:lstStyle/>
              <a:p>
                <a:pPr algn="ctr">
                  <a:defRPr sz="1000" b="1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Показание прибора</a:t>
                </a:r>
                <a:r>
                  <a:rPr lang="ru-RU" baseline="0"/>
                  <a:t> Х, МПа</a:t>
                </a:r>
                <a:endParaRPr lang="ru-RU"/>
              </a:p>
            </c:rich>
          </c:tx>
          <c:layout>
            <c:manualLayout>
              <c:xMode val="edge"/>
              <c:yMode val="edge"/>
              <c:x val="0.35257027469652802"/>
              <c:y val="0.9167199848753929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0" vertOverflow="ellipsis" horzOverflow="overflow" vert="horz" wrap="square" anchor="ctr" anchorCtr="1"/>
          <a:lstStyle/>
          <a:p>
            <a:pPr>
              <a:defRPr sz="1000" b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0913152"/>
        <c:crosses val="autoZero"/>
        <c:crossBetween val="midCat"/>
      </c:valAx>
      <c:valAx>
        <c:axId val="80913152"/>
        <c:scaling>
          <c:orientation val="minMax"/>
          <c:min val="41"/>
        </c:scaling>
        <c:delete val="0"/>
        <c:axPos val="l"/>
        <c:majorGridlines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tint val="50000"/>
                </a:schemeClr>
              </a:solidFill>
              <a:prstDash val="solid"/>
            </a:ln>
            <a:effectLst/>
          </c:spPr>
        </c:minorGridlines>
        <c:title>
          <c:tx>
            <c:rich>
              <a:bodyPr vertOverflow="ellipsis" anchor="ctr" anchorCtr="1"/>
              <a:lstStyle/>
              <a:p>
                <a:pPr algn="ctr">
                  <a:defRPr sz="1000" b="1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Прочность бетона, МПа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0" vertOverflow="ellipsis" horzOverflow="overflow" vert="horz" wrap="square" anchor="ctr" anchorCtr="1"/>
          <a:lstStyle/>
          <a:p>
            <a:pPr>
              <a:defRPr sz="1000" b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9496704"/>
        <c:crosses val="autoZero"/>
        <c:crossBetween val="midCat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</a:schemeClr>
      </a:solidFill>
      <a:prstDash val="solid"/>
    </a:ln>
    <a:effectLst/>
  </c:spPr>
  <c:txPr>
    <a:bodyPr rot="0" spcFirstLastPara="0" vertOverflow="ellipsis" horzOverflow="overflow" vert="horz" wrap="square" anchor="ctr" anchorCtr="1"/>
    <a:lstStyle/>
    <a:p>
      <a:pPr>
        <a:defRPr lang="ru-RU"/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</xdr:colOff>
      <xdr:row>47</xdr:row>
      <xdr:rowOff>51800</xdr:rowOff>
    </xdr:from>
    <xdr:to>
      <xdr:col>7</xdr:col>
      <xdr:colOff>449656</xdr:colOff>
      <xdr:row>63</xdr:row>
      <xdr:rowOff>59593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22413</xdr:colOff>
      <xdr:row>2</xdr:row>
      <xdr:rowOff>11206</xdr:rowOff>
    </xdr:from>
    <xdr:to>
      <xdr:col>4</xdr:col>
      <xdr:colOff>502823</xdr:colOff>
      <xdr:row>5</xdr:row>
      <xdr:rowOff>112059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3" y="414618"/>
          <a:ext cx="3685292" cy="705970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0.2101</cdr:x>
      <cdr:y>0.02105</cdr:y>
    </cdr:from>
    <cdr:to>
      <cdr:x>0.84971</cdr:x>
      <cdr:y>0.11185</cdr:y>
    </cdr:to>
    <cdr:sp macro="" textlink="">
      <cdr:nvSpPr>
        <cdr:cNvPr id="3" name="Прямоугольник 2"/>
        <cdr:cNvSpPr/>
      </cdr:nvSpPr>
      <cdr:spPr>
        <a:xfrm xmlns:a="http://schemas.openxmlformats.org/drawingml/2006/main">
          <a:off x="1192250" y="72353"/>
          <a:ext cx="3629658" cy="3120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400" b="1">
              <a:latin typeface="Times New Roman" pitchFamily="12"/>
              <a:cs typeface="Times New Roman" pitchFamily="12"/>
            </a:rPr>
            <a:t>Градуировочная зависимость </a:t>
          </a:r>
          <a:r>
            <a:rPr lang="en-US" sz="1400" b="1">
              <a:latin typeface="Times New Roman" pitchFamily="12"/>
              <a:cs typeface="Times New Roman" pitchFamily="12"/>
            </a:rPr>
            <a:t>y=a*x+b</a:t>
          </a:r>
          <a:endParaRPr lang="ru-RU" sz="1400" b="1">
            <a:latin typeface="Times New Roman" pitchFamily="12"/>
            <a:cs typeface="Times New Roman" pitchFamily="12"/>
          </a:endParaRPr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G69"/>
  <sheetViews>
    <sheetView tabSelected="1" view="pageBreakPreview" topLeftCell="A49" zoomScale="85" zoomScaleNormal="85" zoomScaleSheetLayoutView="85" zoomScalePageLayoutView="55" workbookViewId="0">
      <selection activeCell="I65" sqref="I64:I65"/>
    </sheetView>
  </sheetViews>
  <sheetFormatPr defaultRowHeight="15.75" x14ac:dyDescent="0.25"/>
  <cols>
    <col min="1" max="1" width="9" style="61"/>
    <col min="2" max="2" width="10" style="61" customWidth="1"/>
    <col min="3" max="3" width="9" style="61"/>
    <col min="4" max="4" width="14.125" style="61" customWidth="1"/>
    <col min="5" max="8" width="9" style="61"/>
    <col min="9" max="9" width="13.625" style="61" customWidth="1"/>
    <col min="10" max="10" width="12.125" style="61" customWidth="1"/>
    <col min="11" max="11" width="12.25" style="61" customWidth="1"/>
    <col min="12" max="13" width="9.125" style="61" customWidth="1"/>
    <col min="14" max="14" width="15" style="61" customWidth="1"/>
    <col min="15" max="15" width="9.375" style="61" customWidth="1"/>
    <col min="16" max="16" width="10.5" style="61" customWidth="1"/>
    <col min="17" max="17" width="9.375" style="61" customWidth="1"/>
    <col min="18" max="18" width="7.875" style="61" customWidth="1"/>
    <col min="19" max="19" width="15.25" style="61" customWidth="1"/>
    <col min="20" max="21" width="9.375" style="61" customWidth="1"/>
    <col min="22" max="22" width="9.125" style="61" customWidth="1"/>
    <col min="23" max="23" width="11.375" style="61" customWidth="1"/>
    <col min="24" max="24" width="17.5" style="61" customWidth="1"/>
    <col min="25" max="26" width="9.125" style="61" customWidth="1"/>
    <col min="27" max="27" width="10.25" style="61" customWidth="1"/>
    <col min="28" max="28" width="9.125" style="61" customWidth="1"/>
    <col min="29" max="29" width="11.75" style="61" customWidth="1"/>
    <col min="30" max="16384" width="9" style="61"/>
  </cols>
  <sheetData>
    <row r="1" spans="1:33" ht="15.75" customHeight="1" x14ac:dyDescent="0.25">
      <c r="A1" s="78" t="s">
        <v>57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33"/>
    </row>
    <row r="2" spans="1:33" ht="15.75" customHeight="1" x14ac:dyDescent="0.3">
      <c r="A2" s="32"/>
      <c r="B2" s="32"/>
      <c r="C2" s="32"/>
      <c r="D2" s="32"/>
      <c r="E2" s="32"/>
      <c r="G2" s="32"/>
      <c r="H2" s="32"/>
      <c r="I2" s="35"/>
      <c r="J2" s="36"/>
      <c r="K2" s="34"/>
      <c r="L2" s="33"/>
    </row>
    <row r="3" spans="1:33" ht="15.75" customHeight="1" x14ac:dyDescent="0.25">
      <c r="A3" s="32"/>
      <c r="B3" s="32"/>
      <c r="C3" s="32"/>
      <c r="D3" s="32"/>
      <c r="E3" s="32"/>
      <c r="F3" s="6"/>
      <c r="G3" s="54" t="s">
        <v>59</v>
      </c>
      <c r="H3" s="54"/>
      <c r="I3" s="54"/>
      <c r="J3" s="54"/>
      <c r="K3" s="54"/>
      <c r="L3" s="54"/>
      <c r="M3" s="54"/>
    </row>
    <row r="4" spans="1:33" ht="15.75" customHeight="1" x14ac:dyDescent="0.25">
      <c r="A4" s="32"/>
      <c r="B4" s="32"/>
      <c r="C4" s="32"/>
      <c r="D4" s="32"/>
      <c r="E4" s="32"/>
      <c r="F4" s="6"/>
      <c r="G4" s="49" t="s">
        <v>60</v>
      </c>
      <c r="H4" s="50"/>
      <c r="I4" s="51"/>
      <c r="J4" s="52"/>
      <c r="K4" s="51"/>
      <c r="L4" s="51"/>
      <c r="M4" s="77" t="s">
        <v>79</v>
      </c>
      <c r="N4" s="61" t="s">
        <v>53</v>
      </c>
      <c r="O4" s="79" t="s">
        <v>54</v>
      </c>
      <c r="P4" s="79"/>
      <c r="Q4" s="79"/>
      <c r="R4" s="79"/>
      <c r="S4" s="79"/>
    </row>
    <row r="5" spans="1:33" x14ac:dyDescent="0.25">
      <c r="A5" s="55"/>
      <c r="B5" s="55"/>
      <c r="C5" s="55"/>
      <c r="D5" s="55"/>
      <c r="E5" s="55"/>
      <c r="F5" s="55"/>
      <c r="G5" s="82" t="s">
        <v>86</v>
      </c>
      <c r="H5" s="83"/>
      <c r="I5" s="83"/>
      <c r="J5" s="83"/>
      <c r="K5" s="83"/>
      <c r="L5" s="53"/>
      <c r="M5" s="77" t="s">
        <v>80</v>
      </c>
      <c r="N5" s="64" t="s">
        <v>53</v>
      </c>
      <c r="O5" s="84" t="s">
        <v>81</v>
      </c>
      <c r="P5" s="79"/>
      <c r="Q5" s="79"/>
    </row>
    <row r="6" spans="1:33" ht="15.75" customHeight="1" x14ac:dyDescent="0.25">
      <c r="G6" s="83"/>
      <c r="H6" s="83"/>
      <c r="I6" s="83"/>
      <c r="J6" s="83"/>
      <c r="K6" s="83"/>
    </row>
    <row r="7" spans="1:33" ht="15.75" customHeight="1" x14ac:dyDescent="0.25">
      <c r="A7" s="80" t="s">
        <v>52</v>
      </c>
      <c r="B7" s="80"/>
      <c r="C7" s="80"/>
      <c r="D7" s="80"/>
      <c r="E7" s="80"/>
      <c r="F7" s="80"/>
      <c r="G7" s="80"/>
      <c r="H7" s="80"/>
      <c r="I7" s="80"/>
      <c r="J7" s="80"/>
      <c r="K7" s="80"/>
    </row>
    <row r="8" spans="1:33" ht="15.75" customHeight="1" x14ac:dyDescent="0.25">
      <c r="A8" s="80" t="s">
        <v>58</v>
      </c>
      <c r="B8" s="80"/>
      <c r="C8" s="80"/>
      <c r="D8" s="80"/>
      <c r="E8" s="80"/>
      <c r="F8" s="80"/>
      <c r="G8" s="80"/>
      <c r="H8" s="80"/>
      <c r="I8" s="80"/>
      <c r="J8" s="80"/>
      <c r="K8" s="80"/>
    </row>
    <row r="9" spans="1:33" ht="15.75" customHeight="1" x14ac:dyDescent="0.25">
      <c r="A9" s="81" t="s">
        <v>82</v>
      </c>
      <c r="B9" s="81"/>
      <c r="C9" s="81"/>
      <c r="D9" s="81"/>
      <c r="E9" s="81"/>
      <c r="F9" s="81"/>
      <c r="G9" s="81"/>
      <c r="H9" s="81"/>
      <c r="I9" s="81"/>
      <c r="J9" s="81"/>
      <c r="K9" s="81"/>
    </row>
    <row r="10" spans="1:33" ht="21" customHeight="1" x14ac:dyDescent="0.25">
      <c r="B10" s="44"/>
      <c r="C10" s="44"/>
      <c r="D10" s="44"/>
      <c r="E10" s="44"/>
      <c r="F10" s="44"/>
      <c r="G10" s="1"/>
      <c r="H10" s="1"/>
      <c r="J10" s="27" t="s">
        <v>0</v>
      </c>
      <c r="K10" s="45">
        <v>44484</v>
      </c>
    </row>
    <row r="11" spans="1:33" ht="21" customHeight="1" x14ac:dyDescent="0.25">
      <c r="A11" s="43" t="s">
        <v>83</v>
      </c>
      <c r="B11" s="44"/>
      <c r="C11" s="44"/>
      <c r="D11" s="44"/>
      <c r="E11" s="44"/>
      <c r="F11" s="44"/>
      <c r="G11" s="1"/>
      <c r="H11" s="1"/>
      <c r="I11" s="10"/>
      <c r="J11" s="11"/>
    </row>
    <row r="12" spans="1:33" ht="21" customHeight="1" x14ac:dyDescent="0.25">
      <c r="A12" s="25" t="s">
        <v>47</v>
      </c>
      <c r="B12" s="58"/>
      <c r="C12" s="58"/>
      <c r="D12" s="58"/>
      <c r="E12" s="107" t="s">
        <v>84</v>
      </c>
      <c r="F12" s="107"/>
      <c r="G12" s="107"/>
      <c r="H12" s="1"/>
      <c r="I12" s="10"/>
      <c r="J12" s="11"/>
    </row>
    <row r="13" spans="1:33" ht="21" customHeight="1" x14ac:dyDescent="0.25">
      <c r="A13" s="89" t="s">
        <v>48</v>
      </c>
      <c r="B13" s="89"/>
      <c r="C13" s="39" t="s">
        <v>85</v>
      </c>
      <c r="D13" s="26"/>
      <c r="E13" s="26"/>
      <c r="F13" s="58"/>
      <c r="G13" s="1"/>
      <c r="H13" s="1"/>
      <c r="I13" s="10"/>
      <c r="J13" s="11"/>
    </row>
    <row r="14" spans="1:33" ht="21.75" customHeight="1" x14ac:dyDescent="0.25">
      <c r="A14" s="90" t="s">
        <v>49</v>
      </c>
      <c r="B14" s="90"/>
      <c r="C14" s="90"/>
      <c r="D14" s="91" t="s">
        <v>55</v>
      </c>
      <c r="E14" s="91"/>
      <c r="F14" s="91"/>
      <c r="G14" s="91"/>
      <c r="H14" s="91"/>
      <c r="I14" s="91"/>
      <c r="J14" s="91"/>
      <c r="K14" s="91"/>
      <c r="AD14" s="26"/>
      <c r="AE14" s="28"/>
    </row>
    <row r="15" spans="1:33" x14ac:dyDescent="0.25">
      <c r="A15" s="92" t="s">
        <v>1</v>
      </c>
      <c r="B15" s="92" t="s">
        <v>2</v>
      </c>
      <c r="C15" s="95" t="s">
        <v>3</v>
      </c>
      <c r="D15" s="96"/>
      <c r="E15" s="97"/>
      <c r="F15" s="98" t="s">
        <v>4</v>
      </c>
      <c r="G15" s="99"/>
      <c r="I15" s="92" t="s">
        <v>5</v>
      </c>
      <c r="J15" s="95" t="s">
        <v>6</v>
      </c>
      <c r="K15" s="97"/>
      <c r="T15" s="30">
        <v>1</v>
      </c>
      <c r="U15" s="30">
        <v>2</v>
      </c>
      <c r="AD15" s="29">
        <v>3</v>
      </c>
      <c r="AE15" s="29">
        <v>4</v>
      </c>
    </row>
    <row r="16" spans="1:33" ht="15.75" customHeight="1" x14ac:dyDescent="0.25">
      <c r="A16" s="93"/>
      <c r="B16" s="93"/>
      <c r="C16" s="92" t="s">
        <v>7</v>
      </c>
      <c r="D16" s="95" t="s">
        <v>8</v>
      </c>
      <c r="E16" s="97"/>
      <c r="F16" s="100"/>
      <c r="G16" s="101"/>
      <c r="I16" s="94"/>
      <c r="J16" s="2" t="s">
        <v>9</v>
      </c>
      <c r="K16" s="2" t="s">
        <v>10</v>
      </c>
      <c r="L16" s="104" t="s">
        <v>11</v>
      </c>
      <c r="M16" s="105"/>
      <c r="N16" s="105"/>
      <c r="O16" s="105"/>
      <c r="P16" s="105"/>
      <c r="Q16" s="105"/>
      <c r="R16" s="105"/>
      <c r="S16" s="105"/>
      <c r="T16" s="88" t="s">
        <v>12</v>
      </c>
      <c r="U16" s="88"/>
      <c r="V16" s="88"/>
      <c r="W16" s="88"/>
      <c r="X16" s="88"/>
      <c r="Y16" s="88"/>
      <c r="Z16" s="88"/>
      <c r="AA16" s="88"/>
      <c r="AB16" s="88"/>
      <c r="AC16" s="88"/>
      <c r="AD16" s="85" t="s">
        <v>50</v>
      </c>
      <c r="AE16" s="85"/>
      <c r="AF16" s="86" t="s">
        <v>51</v>
      </c>
      <c r="AG16" s="87"/>
    </row>
    <row r="17" spans="1:33" ht="16.5" customHeight="1" x14ac:dyDescent="0.25">
      <c r="A17" s="94"/>
      <c r="B17" s="94"/>
      <c r="C17" s="94"/>
      <c r="D17" s="2" t="s">
        <v>9</v>
      </c>
      <c r="E17" s="2" t="s">
        <v>13</v>
      </c>
      <c r="F17" s="2" t="s">
        <v>9</v>
      </c>
      <c r="G17" s="2" t="s">
        <v>13</v>
      </c>
      <c r="I17" s="2" t="s">
        <v>14</v>
      </c>
      <c r="J17" s="2">
        <f>COUNT(D18:D47)</f>
        <v>27</v>
      </c>
      <c r="K17" s="2">
        <f>J17</f>
        <v>27</v>
      </c>
      <c r="L17" s="56" t="s">
        <v>15</v>
      </c>
      <c r="M17" s="56" t="s">
        <v>16</v>
      </c>
      <c r="N17" s="56" t="s">
        <v>17</v>
      </c>
      <c r="O17" s="56" t="s">
        <v>18</v>
      </c>
      <c r="P17" s="56" t="s">
        <v>19</v>
      </c>
      <c r="Q17" s="56" t="s">
        <v>20</v>
      </c>
      <c r="R17" s="56" t="s">
        <v>21</v>
      </c>
      <c r="S17" s="56" t="s">
        <v>22</v>
      </c>
      <c r="T17" s="88" t="s">
        <v>23</v>
      </c>
      <c r="U17" s="88"/>
      <c r="V17" s="57" t="s">
        <v>15</v>
      </c>
      <c r="W17" s="57" t="s">
        <v>16</v>
      </c>
      <c r="X17" s="57" t="s">
        <v>17</v>
      </c>
      <c r="Y17" s="57" t="s">
        <v>18</v>
      </c>
      <c r="Z17" s="57" t="s">
        <v>19</v>
      </c>
      <c r="AA17" s="57" t="s">
        <v>20</v>
      </c>
      <c r="AB17" s="57" t="s">
        <v>21</v>
      </c>
      <c r="AC17" s="57" t="s">
        <v>22</v>
      </c>
      <c r="AD17" s="85"/>
      <c r="AE17" s="85"/>
      <c r="AF17" s="87"/>
      <c r="AG17" s="87"/>
    </row>
    <row r="18" spans="1:33" x14ac:dyDescent="0.25">
      <c r="A18" s="2">
        <v>1</v>
      </c>
      <c r="B18" s="31">
        <v>34.299999999999997</v>
      </c>
      <c r="C18" s="31">
        <v>52.1</v>
      </c>
      <c r="D18" s="4">
        <f t="shared" ref="D18:D47" si="0">IF(A18&gt;0,B18*$J$19+$J$20,"")</f>
        <v>49.626096413203307</v>
      </c>
      <c r="E18" s="4">
        <f>IF(F18&lt;=2,T18*$K$19+$K$20,"")</f>
        <v>49.626096413203307</v>
      </c>
      <c r="F18" s="4">
        <f>S18</f>
        <v>1.094364579302735</v>
      </c>
      <c r="G18" s="4">
        <f>AC18</f>
        <v>1.094364579302735</v>
      </c>
      <c r="I18" s="2" t="s">
        <v>24</v>
      </c>
      <c r="J18" s="2">
        <f>COUNT(B18:B47)</f>
        <v>27</v>
      </c>
      <c r="K18" s="2">
        <f>COUNT(E18:E47)</f>
        <v>27</v>
      </c>
      <c r="L18" s="12">
        <f t="shared" ref="L18:L47" si="1">IF(A18&gt;0,B18-$J$25,"")</f>
        <v>1.1629629629629648</v>
      </c>
      <c r="M18" s="12">
        <f t="shared" ref="M18:M46" si="2">IF(A18&gt;0,C18-$J$26,"")</f>
        <v>4.2703703703703511</v>
      </c>
      <c r="N18" s="12">
        <f>IF(A18&gt;0,L18*M18,"")</f>
        <v>4.9662825788751563</v>
      </c>
      <c r="O18" s="12">
        <f>IF(A18&gt;0,L18^2,"")</f>
        <v>1.3524828532235982</v>
      </c>
      <c r="P18" s="12">
        <f>IF(A18&gt;0,D18,"")</f>
        <v>49.626096413203307</v>
      </c>
      <c r="Q18" s="12">
        <f t="shared" ref="Q18:Q47" si="3">IF(A18&gt;0,(D18-C18)^2,"")</f>
        <v>6.1201989567655515</v>
      </c>
      <c r="R18" s="12">
        <f>IF(A18&gt;0,SQRT(Q18),"")</f>
        <v>2.4739035867966948</v>
      </c>
      <c r="S18" s="17">
        <f t="shared" ref="S18:S28" si="4">IF(A18&gt;0,R18/POWER(SUM($Q$18:$Q$47)/($J$18-2),0.5),"")</f>
        <v>1.094364579302735</v>
      </c>
      <c r="T18" s="18">
        <f t="shared" ref="T18:U33" si="5">IF($F18&lt;=2,IF($F18&lt;&gt;0,B18,""),"")</f>
        <v>34.299999999999997</v>
      </c>
      <c r="U18" s="18">
        <f t="shared" si="5"/>
        <v>52.1</v>
      </c>
      <c r="V18" s="21">
        <f>IF(F18&lt;=2,IF(F18&lt;&gt;0,T18-$K$25,""),"")</f>
        <v>1.1629629629629648</v>
      </c>
      <c r="W18" s="21">
        <f>IF(F18&lt;=2,IF(F18&lt;&gt;0,U18-$K$26,""),"")</f>
        <v>4.2703703703703511</v>
      </c>
      <c r="X18" s="21">
        <f t="shared" ref="X18:X47" si="6">IF(F18&lt;=2,IF(F18&lt;&gt;0,V18*W18,""),"")</f>
        <v>4.9662825788751563</v>
      </c>
      <c r="Y18" s="21">
        <f t="shared" ref="Y18:Y47" si="7">IF(F18&lt;=2,IF(F18&lt;&gt;0,V18^2,""),"")</f>
        <v>1.3524828532235982</v>
      </c>
      <c r="Z18" s="21">
        <f>IF(F18&lt;=2,IF(F18&lt;&gt;0,E18,""),"")</f>
        <v>49.626096413203307</v>
      </c>
      <c r="AA18" s="21">
        <f>IF(F18&lt;=2,IF(F18&lt;&gt;0,(Z18-U18)^2,""),"")</f>
        <v>6.1201989567655515</v>
      </c>
      <c r="AB18" s="21">
        <f>IF(F18&lt;=2,IF(F18&lt;&gt;0,SQRT(AA18),""),"")</f>
        <v>2.4739035867966948</v>
      </c>
      <c r="AC18" s="23">
        <f t="shared" ref="AC18:AC28" si="8">IF(F18&lt;=2,IF(F18&lt;&gt;0,AB18/POWER(SUM($Q$18:$Q$47)/($J$18-2),0.5),""),"")</f>
        <v>1.094364579302735</v>
      </c>
      <c r="AD18" s="18">
        <v>34.299999999999997</v>
      </c>
      <c r="AE18" s="18">
        <v>52.1</v>
      </c>
      <c r="AF18" s="87"/>
      <c r="AG18" s="87"/>
    </row>
    <row r="19" spans="1:33" x14ac:dyDescent="0.25">
      <c r="A19" s="2">
        <v>2</v>
      </c>
      <c r="B19" s="31">
        <v>34.299999999999997</v>
      </c>
      <c r="C19" s="31">
        <v>49.6</v>
      </c>
      <c r="D19" s="4">
        <f t="shared" si="0"/>
        <v>49.626096413203307</v>
      </c>
      <c r="E19" s="4">
        <f t="shared" ref="E19:E41" si="9">IF(F19&lt;=2,T19*$K$19+$K$20,"")</f>
        <v>49.626096413203307</v>
      </c>
      <c r="F19" s="4">
        <f t="shared" ref="F19:F47" si="10">S19</f>
        <v>1.1544099943492446E-2</v>
      </c>
      <c r="G19" s="4">
        <f t="shared" ref="G19:G47" si="11">AC19</f>
        <v>1.1544099943492446E-2</v>
      </c>
      <c r="I19" s="2" t="s">
        <v>25</v>
      </c>
      <c r="J19" s="13">
        <f>SUM(N18:N47)/SUM(O18:O47)</f>
        <v>1.5447325846015458</v>
      </c>
      <c r="K19" s="13">
        <f>SUM(X18:X47)/SUM(Y18:Y47)</f>
        <v>1.5447325846015458</v>
      </c>
      <c r="L19" s="12">
        <f t="shared" si="1"/>
        <v>1.1629629629629648</v>
      </c>
      <c r="M19" s="12">
        <f t="shared" si="2"/>
        <v>1.7703703703703511</v>
      </c>
      <c r="N19" s="12">
        <f t="shared" ref="N19:N47" si="12">IF(A19&gt;0,L19*M19,"")</f>
        <v>2.0588751714677449</v>
      </c>
      <c r="O19" s="12">
        <f t="shared" ref="O19:O47" si="13">IF(A19&gt;0,L19^2,"")</f>
        <v>1.3524828532235982</v>
      </c>
      <c r="P19" s="12">
        <f t="shared" ref="P19:P47" si="14">IF(A19&gt;0,D19,"")</f>
        <v>49.626096413203307</v>
      </c>
      <c r="Q19" s="12">
        <f t="shared" si="3"/>
        <v>6.8102278207764438E-4</v>
      </c>
      <c r="R19" s="12">
        <f t="shared" ref="R19:R47" si="15">IF(A19&gt;0,SQRT(Q19),"")</f>
        <v>2.6096413203305246E-2</v>
      </c>
      <c r="S19" s="17">
        <f t="shared" si="4"/>
        <v>1.1544099943492446E-2</v>
      </c>
      <c r="T19" s="18">
        <f t="shared" si="5"/>
        <v>34.299999999999997</v>
      </c>
      <c r="U19" s="18">
        <f t="shared" si="5"/>
        <v>49.6</v>
      </c>
      <c r="V19" s="21">
        <f t="shared" ref="V19:V47" si="16">IF(F19&lt;=2,IF(F19&lt;&gt;0,T19-$K$25,""),"")</f>
        <v>1.1629629629629648</v>
      </c>
      <c r="W19" s="21">
        <f t="shared" ref="W19:W47" si="17">IF(F19&lt;=2,IF(F19&lt;&gt;0,U19-$K$26,""),"")</f>
        <v>1.7703703703703511</v>
      </c>
      <c r="X19" s="21">
        <f t="shared" si="6"/>
        <v>2.0588751714677449</v>
      </c>
      <c r="Y19" s="21">
        <f t="shared" si="7"/>
        <v>1.3524828532235982</v>
      </c>
      <c r="Z19" s="21">
        <f t="shared" ref="Z19:Z47" si="18">IF(F19&lt;=2,IF(F19&lt;&gt;0,E19,""),"")</f>
        <v>49.626096413203307</v>
      </c>
      <c r="AA19" s="21">
        <f t="shared" ref="AA19:AA47" si="19">IF(F19&lt;=2,IF(F19&lt;&gt;0,(Z19-U19)^2,""),"")</f>
        <v>6.8102278207764438E-4</v>
      </c>
      <c r="AB19" s="21">
        <f t="shared" ref="AB19:AB47" si="20">IF(F19&lt;=2,IF(F19&lt;&gt;0,SQRT(AA19),""),"")</f>
        <v>2.6096413203305246E-2</v>
      </c>
      <c r="AC19" s="23">
        <f t="shared" si="8"/>
        <v>1.1544099943492446E-2</v>
      </c>
      <c r="AD19" s="18">
        <v>34.299999999999997</v>
      </c>
      <c r="AE19" s="18">
        <v>49.6</v>
      </c>
      <c r="AF19" s="87"/>
      <c r="AG19" s="87"/>
    </row>
    <row r="20" spans="1:33" x14ac:dyDescent="0.25">
      <c r="A20" s="2">
        <v>3</v>
      </c>
      <c r="B20" s="40">
        <v>31.3</v>
      </c>
      <c r="C20" s="40">
        <v>42.3</v>
      </c>
      <c r="D20" s="4">
        <f t="shared" si="0"/>
        <v>44.991898659398672</v>
      </c>
      <c r="E20" s="4">
        <f t="shared" si="9"/>
        <v>44.991898659398672</v>
      </c>
      <c r="F20" s="4">
        <f t="shared" si="10"/>
        <v>1.1907976364321113</v>
      </c>
      <c r="G20" s="4">
        <f t="shared" si="11"/>
        <v>1.1907976364321113</v>
      </c>
      <c r="I20" s="2" t="s">
        <v>26</v>
      </c>
      <c r="J20" s="13">
        <f>J26-J19*J25</f>
        <v>-3.3582312386297133</v>
      </c>
      <c r="K20" s="13">
        <f>K26-K19*K25</f>
        <v>-3.3582312386297133</v>
      </c>
      <c r="L20" s="12">
        <f t="shared" si="1"/>
        <v>-1.8370370370370317</v>
      </c>
      <c r="M20" s="12">
        <f t="shared" si="2"/>
        <v>-5.5296296296296532</v>
      </c>
      <c r="N20" s="12">
        <f t="shared" si="12"/>
        <v>10.158134430727037</v>
      </c>
      <c r="O20" s="12">
        <f t="shared" si="13"/>
        <v>3.3747050754457963</v>
      </c>
      <c r="P20" s="12">
        <f t="shared" si="14"/>
        <v>44.991898659398672</v>
      </c>
      <c r="Q20" s="12">
        <f t="shared" si="3"/>
        <v>7.2463183924723804</v>
      </c>
      <c r="R20" s="12">
        <f t="shared" si="15"/>
        <v>2.6918986593986745</v>
      </c>
      <c r="S20" s="17">
        <f t="shared" si="4"/>
        <v>1.1907976364321113</v>
      </c>
      <c r="T20" s="18">
        <f t="shared" si="5"/>
        <v>31.3</v>
      </c>
      <c r="U20" s="18">
        <f t="shared" si="5"/>
        <v>42.3</v>
      </c>
      <c r="V20" s="21">
        <f t="shared" si="16"/>
        <v>-1.8370370370370317</v>
      </c>
      <c r="W20" s="21">
        <f t="shared" si="17"/>
        <v>-5.5296296296296532</v>
      </c>
      <c r="X20" s="21">
        <f t="shared" si="6"/>
        <v>10.158134430727037</v>
      </c>
      <c r="Y20" s="21">
        <f t="shared" si="7"/>
        <v>3.3747050754457963</v>
      </c>
      <c r="Z20" s="21">
        <f t="shared" si="18"/>
        <v>44.991898659398672</v>
      </c>
      <c r="AA20" s="21">
        <f t="shared" si="19"/>
        <v>7.2463183924723804</v>
      </c>
      <c r="AB20" s="21">
        <f t="shared" si="20"/>
        <v>2.6918986593986745</v>
      </c>
      <c r="AC20" s="23">
        <f t="shared" si="8"/>
        <v>1.1907976364321113</v>
      </c>
      <c r="AD20" s="18">
        <v>31.3</v>
      </c>
      <c r="AE20" s="18">
        <v>42.3</v>
      </c>
      <c r="AF20" s="87"/>
      <c r="AG20" s="87"/>
    </row>
    <row r="21" spans="1:33" x14ac:dyDescent="0.25">
      <c r="A21" s="2">
        <v>4</v>
      </c>
      <c r="B21" s="31">
        <v>33.5</v>
      </c>
      <c r="C21" s="31">
        <v>49</v>
      </c>
      <c r="D21" s="4">
        <f t="shared" si="0"/>
        <v>48.390310345522074</v>
      </c>
      <c r="E21" s="4">
        <f t="shared" si="9"/>
        <v>48.390310345522074</v>
      </c>
      <c r="F21" s="4">
        <f t="shared" si="10"/>
        <v>0.26970443221350854</v>
      </c>
      <c r="G21" s="4">
        <f t="shared" si="11"/>
        <v>0.26970443221350854</v>
      </c>
      <c r="I21" s="2" t="s">
        <v>27</v>
      </c>
      <c r="J21" s="2">
        <f>LARGE(C18:C47,1)</f>
        <v>57.4</v>
      </c>
      <c r="K21" s="2">
        <f>LARGE(U18:U47,1)</f>
        <v>57.4</v>
      </c>
      <c r="L21" s="12">
        <f t="shared" si="1"/>
        <v>0.36296296296296759</v>
      </c>
      <c r="M21" s="12">
        <f t="shared" si="2"/>
        <v>1.1703703703703496</v>
      </c>
      <c r="N21" s="12">
        <f t="shared" si="12"/>
        <v>0.42480109739368788</v>
      </c>
      <c r="O21" s="12">
        <f t="shared" si="13"/>
        <v>0.13174211248285658</v>
      </c>
      <c r="P21" s="12">
        <f t="shared" si="14"/>
        <v>48.390310345522074</v>
      </c>
      <c r="Q21" s="12">
        <f t="shared" si="3"/>
        <v>0.37172147477741224</v>
      </c>
      <c r="R21" s="12">
        <f t="shared" si="15"/>
        <v>0.60968965447792556</v>
      </c>
      <c r="S21" s="17">
        <f t="shared" si="4"/>
        <v>0.26970443221350854</v>
      </c>
      <c r="T21" s="18">
        <f t="shared" si="5"/>
        <v>33.5</v>
      </c>
      <c r="U21" s="18">
        <f t="shared" si="5"/>
        <v>49</v>
      </c>
      <c r="V21" s="21">
        <f t="shared" si="16"/>
        <v>0.36296296296296759</v>
      </c>
      <c r="W21" s="21">
        <f t="shared" si="17"/>
        <v>1.1703703703703496</v>
      </c>
      <c r="X21" s="21">
        <f t="shared" si="6"/>
        <v>0.42480109739368788</v>
      </c>
      <c r="Y21" s="21">
        <f t="shared" si="7"/>
        <v>0.13174211248285658</v>
      </c>
      <c r="Z21" s="21">
        <f t="shared" si="18"/>
        <v>48.390310345522074</v>
      </c>
      <c r="AA21" s="21">
        <f t="shared" si="19"/>
        <v>0.37172147477741224</v>
      </c>
      <c r="AB21" s="21">
        <f t="shared" si="20"/>
        <v>0.60968965447792556</v>
      </c>
      <c r="AC21" s="23">
        <f t="shared" si="8"/>
        <v>0.26970443221350854</v>
      </c>
      <c r="AD21" s="18">
        <v>33.5</v>
      </c>
      <c r="AE21" s="18">
        <v>49</v>
      </c>
      <c r="AF21" s="87"/>
      <c r="AG21" s="87"/>
    </row>
    <row r="22" spans="1:33" x14ac:dyDescent="0.25">
      <c r="A22" s="2">
        <v>5</v>
      </c>
      <c r="B22" s="31">
        <v>33.9</v>
      </c>
      <c r="C22" s="31">
        <v>49.3</v>
      </c>
      <c r="D22" s="4">
        <f t="shared" si="0"/>
        <v>49.008203379362691</v>
      </c>
      <c r="E22" s="4">
        <f t="shared" si="9"/>
        <v>49.008203379362691</v>
      </c>
      <c r="F22" s="4">
        <f t="shared" si="10"/>
        <v>0.12908016613500647</v>
      </c>
      <c r="G22" s="4">
        <f t="shared" si="11"/>
        <v>0.12908016613500647</v>
      </c>
      <c r="I22" s="2" t="s">
        <v>28</v>
      </c>
      <c r="J22" s="2">
        <f>SMALL(C18:C47,1)</f>
        <v>41.6</v>
      </c>
      <c r="K22" s="2">
        <f>SMALL(U18:U47,1)</f>
        <v>41.6</v>
      </c>
      <c r="L22" s="12">
        <f t="shared" si="1"/>
        <v>0.76296296296296617</v>
      </c>
      <c r="M22" s="12">
        <f t="shared" si="2"/>
        <v>1.4703703703703468</v>
      </c>
      <c r="N22" s="12">
        <f t="shared" si="12"/>
        <v>1.1218381344307138</v>
      </c>
      <c r="O22" s="12">
        <f t="shared" si="13"/>
        <v>0.58211248285322847</v>
      </c>
      <c r="P22" s="12">
        <f t="shared" si="14"/>
        <v>49.008203379362691</v>
      </c>
      <c r="Q22" s="12">
        <f t="shared" si="3"/>
        <v>8.5145267815352227E-2</v>
      </c>
      <c r="R22" s="12">
        <f t="shared" si="15"/>
        <v>0.2917966206373066</v>
      </c>
      <c r="S22" s="17">
        <f t="shared" si="4"/>
        <v>0.12908016613500647</v>
      </c>
      <c r="T22" s="18">
        <f t="shared" si="5"/>
        <v>33.9</v>
      </c>
      <c r="U22" s="18">
        <f t="shared" si="5"/>
        <v>49.3</v>
      </c>
      <c r="V22" s="21">
        <f t="shared" si="16"/>
        <v>0.76296296296296617</v>
      </c>
      <c r="W22" s="21">
        <f t="shared" si="17"/>
        <v>1.4703703703703468</v>
      </c>
      <c r="X22" s="21">
        <f t="shared" si="6"/>
        <v>1.1218381344307138</v>
      </c>
      <c r="Y22" s="21">
        <f t="shared" si="7"/>
        <v>0.58211248285322847</v>
      </c>
      <c r="Z22" s="21">
        <f t="shared" si="18"/>
        <v>49.008203379362691</v>
      </c>
      <c r="AA22" s="21">
        <f t="shared" si="19"/>
        <v>8.5145267815352227E-2</v>
      </c>
      <c r="AB22" s="21">
        <f t="shared" si="20"/>
        <v>0.2917966206373066</v>
      </c>
      <c r="AC22" s="23">
        <f t="shared" si="8"/>
        <v>0.12908016613500647</v>
      </c>
      <c r="AD22" s="18">
        <v>33.9</v>
      </c>
      <c r="AE22" s="18">
        <v>49.3</v>
      </c>
      <c r="AF22" s="87"/>
      <c r="AG22" s="87"/>
    </row>
    <row r="23" spans="1:33" x14ac:dyDescent="0.25">
      <c r="A23" s="2">
        <v>6</v>
      </c>
      <c r="B23" s="31">
        <v>35.6</v>
      </c>
      <c r="C23" s="31">
        <v>48.1</v>
      </c>
      <c r="D23" s="4">
        <f t="shared" si="0"/>
        <v>51.63424877318532</v>
      </c>
      <c r="E23" s="4">
        <f t="shared" si="9"/>
        <v>51.63424877318532</v>
      </c>
      <c r="F23" s="4">
        <f t="shared" si="10"/>
        <v>1.5634225571523899</v>
      </c>
      <c r="G23" s="4">
        <f t="shared" si="11"/>
        <v>1.5634225571523899</v>
      </c>
      <c r="I23" s="2" t="s">
        <v>29</v>
      </c>
      <c r="J23" s="2">
        <f>LARGE(B18:B47,1)</f>
        <v>37.4</v>
      </c>
      <c r="K23" s="2">
        <f>LARGE(T18:T47,1)</f>
        <v>37.4</v>
      </c>
      <c r="L23" s="12">
        <f t="shared" si="1"/>
        <v>2.462962962962969</v>
      </c>
      <c r="M23" s="12">
        <f t="shared" si="2"/>
        <v>0.27037037037035105</v>
      </c>
      <c r="N23" s="12">
        <f t="shared" si="12"/>
        <v>0.66591220850475519</v>
      </c>
      <c r="O23" s="12">
        <f t="shared" si="13"/>
        <v>6.0661865569273274</v>
      </c>
      <c r="P23" s="12">
        <f t="shared" si="14"/>
        <v>51.63424877318532</v>
      </c>
      <c r="Q23" s="12">
        <f t="shared" si="3"/>
        <v>12.490914390761928</v>
      </c>
      <c r="R23" s="12">
        <f t="shared" si="15"/>
        <v>3.5342487731853183</v>
      </c>
      <c r="S23" s="17">
        <f t="shared" si="4"/>
        <v>1.5634225571523899</v>
      </c>
      <c r="T23" s="18">
        <f t="shared" si="5"/>
        <v>35.6</v>
      </c>
      <c r="U23" s="18">
        <f t="shared" si="5"/>
        <v>48.1</v>
      </c>
      <c r="V23" s="21">
        <f t="shared" si="16"/>
        <v>2.462962962962969</v>
      </c>
      <c r="W23" s="21">
        <f t="shared" si="17"/>
        <v>0.27037037037035105</v>
      </c>
      <c r="X23" s="21">
        <f t="shared" si="6"/>
        <v>0.66591220850475519</v>
      </c>
      <c r="Y23" s="21">
        <f t="shared" si="7"/>
        <v>6.0661865569273274</v>
      </c>
      <c r="Z23" s="21">
        <f t="shared" si="18"/>
        <v>51.63424877318532</v>
      </c>
      <c r="AA23" s="21">
        <f t="shared" si="19"/>
        <v>12.490914390761928</v>
      </c>
      <c r="AB23" s="21">
        <f t="shared" si="20"/>
        <v>3.5342487731853183</v>
      </c>
      <c r="AC23" s="23">
        <f t="shared" si="8"/>
        <v>1.5634225571523899</v>
      </c>
      <c r="AD23" s="18">
        <v>35.6</v>
      </c>
      <c r="AE23" s="18">
        <v>48.1</v>
      </c>
      <c r="AF23" s="87"/>
      <c r="AG23" s="87"/>
    </row>
    <row r="24" spans="1:33" x14ac:dyDescent="0.25">
      <c r="A24" s="2">
        <v>7</v>
      </c>
      <c r="B24" s="31">
        <v>33.299999999999997</v>
      </c>
      <c r="C24" s="31">
        <v>46.4</v>
      </c>
      <c r="D24" s="4">
        <f t="shared" si="0"/>
        <v>48.081363828601759</v>
      </c>
      <c r="E24" s="4">
        <f t="shared" si="9"/>
        <v>48.081363828601759</v>
      </c>
      <c r="F24" s="4">
        <f t="shared" si="10"/>
        <v>0.74377394040854139</v>
      </c>
      <c r="G24" s="4">
        <f t="shared" si="11"/>
        <v>0.74377394040854139</v>
      </c>
      <c r="I24" s="2" t="s">
        <v>30</v>
      </c>
      <c r="J24" s="2">
        <f>SMALL(B18:B47,1)</f>
        <v>29</v>
      </c>
      <c r="K24" s="2">
        <f>SMALL(T18:T47,1)</f>
        <v>29</v>
      </c>
      <c r="L24" s="12">
        <f t="shared" si="1"/>
        <v>0.16296296296296475</v>
      </c>
      <c r="M24" s="12">
        <f t="shared" si="2"/>
        <v>-1.4296296296296518</v>
      </c>
      <c r="N24" s="12">
        <f t="shared" si="12"/>
        <v>-0.23297668038409397</v>
      </c>
      <c r="O24" s="12">
        <f t="shared" si="13"/>
        <v>2.655692729766862E-2</v>
      </c>
      <c r="P24" s="12">
        <f t="shared" si="14"/>
        <v>48.081363828601759</v>
      </c>
      <c r="Q24" s="12">
        <f t="shared" si="3"/>
        <v>2.8269843241303709</v>
      </c>
      <c r="R24" s="12">
        <f t="shared" si="15"/>
        <v>1.6813638286017607</v>
      </c>
      <c r="S24" s="17">
        <f t="shared" si="4"/>
        <v>0.74377394040854139</v>
      </c>
      <c r="T24" s="18">
        <f t="shared" si="5"/>
        <v>33.299999999999997</v>
      </c>
      <c r="U24" s="18">
        <f t="shared" si="5"/>
        <v>46.4</v>
      </c>
      <c r="V24" s="21">
        <f t="shared" si="16"/>
        <v>0.16296296296296475</v>
      </c>
      <c r="W24" s="21">
        <f t="shared" si="17"/>
        <v>-1.4296296296296518</v>
      </c>
      <c r="X24" s="21">
        <f t="shared" si="6"/>
        <v>-0.23297668038409397</v>
      </c>
      <c r="Y24" s="21">
        <f t="shared" si="7"/>
        <v>2.655692729766862E-2</v>
      </c>
      <c r="Z24" s="21">
        <f t="shared" si="18"/>
        <v>48.081363828601759</v>
      </c>
      <c r="AA24" s="21">
        <f t="shared" si="19"/>
        <v>2.8269843241303709</v>
      </c>
      <c r="AB24" s="21">
        <f t="shared" si="20"/>
        <v>1.6813638286017607</v>
      </c>
      <c r="AC24" s="23">
        <f t="shared" si="8"/>
        <v>0.74377394040854139</v>
      </c>
      <c r="AD24" s="18">
        <v>33.299999999999997</v>
      </c>
      <c r="AE24" s="18">
        <v>46.4</v>
      </c>
      <c r="AF24" s="87"/>
      <c r="AG24" s="87"/>
    </row>
    <row r="25" spans="1:33" x14ac:dyDescent="0.25">
      <c r="A25" s="2">
        <v>8</v>
      </c>
      <c r="B25" s="31">
        <v>30.6</v>
      </c>
      <c r="C25" s="31">
        <v>41.6</v>
      </c>
      <c r="D25" s="4">
        <f t="shared" si="0"/>
        <v>43.91058585017759</v>
      </c>
      <c r="E25" s="4">
        <f t="shared" si="9"/>
        <v>43.91058585017759</v>
      </c>
      <c r="F25" s="4">
        <f t="shared" si="10"/>
        <v>1.0221187783419672</v>
      </c>
      <c r="G25" s="4">
        <f t="shared" si="11"/>
        <v>1.0221187783419672</v>
      </c>
      <c r="I25" s="2" t="s">
        <v>31</v>
      </c>
      <c r="J25" s="3">
        <f>AVERAGE(B18:B47)</f>
        <v>33.137037037037032</v>
      </c>
      <c r="K25" s="3">
        <f>AVERAGE(T18:T47)</f>
        <v>33.137037037037032</v>
      </c>
      <c r="L25" s="12">
        <f t="shared" si="1"/>
        <v>-2.537037037037031</v>
      </c>
      <c r="M25" s="12">
        <f t="shared" si="2"/>
        <v>-6.2296296296296489</v>
      </c>
      <c r="N25" s="12">
        <f t="shared" si="12"/>
        <v>15.804801097393701</v>
      </c>
      <c r="O25" s="12">
        <f t="shared" si="13"/>
        <v>6.4365569272976373</v>
      </c>
      <c r="P25" s="12">
        <f t="shared" si="14"/>
        <v>43.91058585017759</v>
      </c>
      <c r="Q25" s="12">
        <f t="shared" si="3"/>
        <v>5.3388069710408894</v>
      </c>
      <c r="R25" s="12">
        <f t="shared" si="15"/>
        <v>2.3105858501775884</v>
      </c>
      <c r="S25" s="17">
        <f t="shared" si="4"/>
        <v>1.0221187783419672</v>
      </c>
      <c r="T25" s="18">
        <f t="shared" si="5"/>
        <v>30.6</v>
      </c>
      <c r="U25" s="18">
        <f t="shared" si="5"/>
        <v>41.6</v>
      </c>
      <c r="V25" s="21">
        <f t="shared" si="16"/>
        <v>-2.537037037037031</v>
      </c>
      <c r="W25" s="21">
        <f t="shared" si="17"/>
        <v>-6.2296296296296489</v>
      </c>
      <c r="X25" s="21">
        <f t="shared" si="6"/>
        <v>15.804801097393701</v>
      </c>
      <c r="Y25" s="21">
        <f t="shared" si="7"/>
        <v>6.4365569272976373</v>
      </c>
      <c r="Z25" s="21">
        <f t="shared" si="18"/>
        <v>43.91058585017759</v>
      </c>
      <c r="AA25" s="21">
        <f t="shared" si="19"/>
        <v>5.3388069710408894</v>
      </c>
      <c r="AB25" s="21">
        <f t="shared" si="20"/>
        <v>2.3105858501775884</v>
      </c>
      <c r="AC25" s="23">
        <f t="shared" si="8"/>
        <v>1.0221187783419672</v>
      </c>
      <c r="AD25" s="18">
        <v>30.6</v>
      </c>
      <c r="AE25" s="18">
        <v>41.6</v>
      </c>
      <c r="AF25" s="87"/>
      <c r="AG25" s="87"/>
    </row>
    <row r="26" spans="1:33" x14ac:dyDescent="0.25">
      <c r="A26" s="2">
        <v>9</v>
      </c>
      <c r="B26" s="31">
        <v>31.5</v>
      </c>
      <c r="C26" s="31">
        <v>44.8</v>
      </c>
      <c r="D26" s="4">
        <f t="shared" si="0"/>
        <v>45.30084517631898</v>
      </c>
      <c r="E26" s="4">
        <f t="shared" si="9"/>
        <v>45.30084517631898</v>
      </c>
      <c r="F26" s="4">
        <f t="shared" si="10"/>
        <v>0.22155561097990792</v>
      </c>
      <c r="G26" s="4">
        <f t="shared" si="11"/>
        <v>0.22155561097990792</v>
      </c>
      <c r="I26" s="2" t="s">
        <v>32</v>
      </c>
      <c r="J26" s="3">
        <f>AVERAGE(C18:C47)</f>
        <v>47.82962962962965</v>
      </c>
      <c r="K26" s="3">
        <f>AVERAGE(U18:U47)</f>
        <v>47.82962962962965</v>
      </c>
      <c r="L26" s="12">
        <f t="shared" si="1"/>
        <v>-1.6370370370370324</v>
      </c>
      <c r="M26" s="12">
        <f t="shared" si="2"/>
        <v>-3.0296296296296532</v>
      </c>
      <c r="N26" s="12">
        <f t="shared" si="12"/>
        <v>4.9596159122085295</v>
      </c>
      <c r="O26" s="12">
        <f t="shared" si="13"/>
        <v>2.679890260630986</v>
      </c>
      <c r="P26" s="12">
        <f t="shared" si="14"/>
        <v>45.30084517631898</v>
      </c>
      <c r="Q26" s="12">
        <f t="shared" si="3"/>
        <v>0.2508458906419927</v>
      </c>
      <c r="R26" s="12">
        <f t="shared" si="15"/>
        <v>0.50084517631898251</v>
      </c>
      <c r="S26" s="17">
        <f t="shared" si="4"/>
        <v>0.22155561097990792</v>
      </c>
      <c r="T26" s="18">
        <f t="shared" si="5"/>
        <v>31.5</v>
      </c>
      <c r="U26" s="18">
        <f t="shared" si="5"/>
        <v>44.8</v>
      </c>
      <c r="V26" s="21">
        <f t="shared" si="16"/>
        <v>-1.6370370370370324</v>
      </c>
      <c r="W26" s="21">
        <f t="shared" si="17"/>
        <v>-3.0296296296296532</v>
      </c>
      <c r="X26" s="21">
        <f t="shared" si="6"/>
        <v>4.9596159122085295</v>
      </c>
      <c r="Y26" s="21">
        <f t="shared" si="7"/>
        <v>2.679890260630986</v>
      </c>
      <c r="Z26" s="21">
        <f t="shared" si="18"/>
        <v>45.30084517631898</v>
      </c>
      <c r="AA26" s="21">
        <f t="shared" si="19"/>
        <v>0.2508458906419927</v>
      </c>
      <c r="AB26" s="21">
        <f t="shared" si="20"/>
        <v>0.50084517631898251</v>
      </c>
      <c r="AC26" s="23">
        <f t="shared" si="8"/>
        <v>0.22155561097990792</v>
      </c>
      <c r="AD26" s="18">
        <v>31.5</v>
      </c>
      <c r="AE26" s="18">
        <v>44.8</v>
      </c>
      <c r="AF26" s="87"/>
      <c r="AG26" s="87"/>
    </row>
    <row r="27" spans="1:33" x14ac:dyDescent="0.25">
      <c r="A27" s="2">
        <v>10</v>
      </c>
      <c r="B27" s="31">
        <v>30</v>
      </c>
      <c r="C27" s="31">
        <v>44.1</v>
      </c>
      <c r="D27" s="4">
        <f t="shared" si="0"/>
        <v>42.983746299416659</v>
      </c>
      <c r="E27" s="4">
        <f t="shared" si="9"/>
        <v>42.983746299416659</v>
      </c>
      <c r="F27" s="4">
        <f t="shared" si="10"/>
        <v>0.49378986228633537</v>
      </c>
      <c r="G27" s="4">
        <f t="shared" si="11"/>
        <v>0.49378986228633537</v>
      </c>
      <c r="I27" s="14" t="s">
        <v>33</v>
      </c>
      <c r="J27" s="3">
        <f>SUM(B18:B47)</f>
        <v>894.69999999999993</v>
      </c>
      <c r="K27" s="2">
        <f>SUM(T18:T47)</f>
        <v>894.69999999999993</v>
      </c>
      <c r="L27" s="12">
        <f t="shared" si="1"/>
        <v>-3.1370370370370324</v>
      </c>
      <c r="M27" s="12">
        <f t="shared" si="2"/>
        <v>-3.7296296296296489</v>
      </c>
      <c r="N27" s="12">
        <f t="shared" si="12"/>
        <v>11.699986282578919</v>
      </c>
      <c r="O27" s="12">
        <f t="shared" si="13"/>
        <v>9.8410013717420828</v>
      </c>
      <c r="P27" s="12">
        <f t="shared" si="14"/>
        <v>42.983746299416659</v>
      </c>
      <c r="Q27" s="12">
        <f t="shared" si="3"/>
        <v>1.2460223240660071</v>
      </c>
      <c r="R27" s="12">
        <f t="shared" si="15"/>
        <v>1.1162537005833428</v>
      </c>
      <c r="S27" s="17">
        <f t="shared" si="4"/>
        <v>0.49378986228633537</v>
      </c>
      <c r="T27" s="18">
        <f t="shared" si="5"/>
        <v>30</v>
      </c>
      <c r="U27" s="18">
        <f t="shared" si="5"/>
        <v>44.1</v>
      </c>
      <c r="V27" s="21">
        <f t="shared" si="16"/>
        <v>-3.1370370370370324</v>
      </c>
      <c r="W27" s="21">
        <f t="shared" si="17"/>
        <v>-3.7296296296296489</v>
      </c>
      <c r="X27" s="21">
        <f t="shared" si="6"/>
        <v>11.699986282578919</v>
      </c>
      <c r="Y27" s="21">
        <f t="shared" si="7"/>
        <v>9.8410013717420828</v>
      </c>
      <c r="Z27" s="21">
        <f t="shared" si="18"/>
        <v>42.983746299416659</v>
      </c>
      <c r="AA27" s="21">
        <f t="shared" si="19"/>
        <v>1.2460223240660071</v>
      </c>
      <c r="AB27" s="21">
        <f t="shared" si="20"/>
        <v>1.1162537005833428</v>
      </c>
      <c r="AC27" s="23">
        <f t="shared" si="8"/>
        <v>0.49378986228633537</v>
      </c>
      <c r="AD27" s="18">
        <v>30</v>
      </c>
      <c r="AE27" s="18">
        <v>44.1</v>
      </c>
      <c r="AF27" s="87"/>
      <c r="AG27" s="87"/>
    </row>
    <row r="28" spans="1:33" x14ac:dyDescent="0.25">
      <c r="A28" s="2">
        <v>11</v>
      </c>
      <c r="B28" s="31">
        <v>29</v>
      </c>
      <c r="C28" s="31">
        <v>44.1</v>
      </c>
      <c r="D28" s="4">
        <f t="shared" si="0"/>
        <v>41.439013714815118</v>
      </c>
      <c r="E28" s="4">
        <f t="shared" si="9"/>
        <v>41.439013714815118</v>
      </c>
      <c r="F28" s="4">
        <f t="shared" si="10"/>
        <v>1.1771231312564556</v>
      </c>
      <c r="G28" s="4">
        <f t="shared" si="11"/>
        <v>1.1771231312564556</v>
      </c>
      <c r="I28" s="14" t="s">
        <v>34</v>
      </c>
      <c r="J28" s="3">
        <f>SUM(C18:C47)</f>
        <v>1291.4000000000005</v>
      </c>
      <c r="K28" s="2">
        <f>SUM(U18:U47)</f>
        <v>1291.4000000000005</v>
      </c>
      <c r="L28" s="12">
        <f t="shared" si="1"/>
        <v>-4.1370370370370324</v>
      </c>
      <c r="M28" s="12">
        <f t="shared" si="2"/>
        <v>-3.7296296296296489</v>
      </c>
      <c r="N28" s="12">
        <f t="shared" si="12"/>
        <v>15.429615912208568</v>
      </c>
      <c r="O28" s="12">
        <f t="shared" si="13"/>
        <v>17.115075445816149</v>
      </c>
      <c r="P28" s="12">
        <f t="shared" si="14"/>
        <v>41.439013714815118</v>
      </c>
      <c r="Q28" s="12">
        <f t="shared" si="3"/>
        <v>7.0808480099420441</v>
      </c>
      <c r="R28" s="12">
        <f t="shared" si="15"/>
        <v>2.6609862851848831</v>
      </c>
      <c r="S28" s="17">
        <f t="shared" si="4"/>
        <v>1.1771231312564556</v>
      </c>
      <c r="T28" s="18">
        <f t="shared" si="5"/>
        <v>29</v>
      </c>
      <c r="U28" s="18">
        <f t="shared" si="5"/>
        <v>44.1</v>
      </c>
      <c r="V28" s="21">
        <f t="shared" si="16"/>
        <v>-4.1370370370370324</v>
      </c>
      <c r="W28" s="21">
        <f t="shared" si="17"/>
        <v>-3.7296296296296489</v>
      </c>
      <c r="X28" s="21">
        <f t="shared" si="6"/>
        <v>15.429615912208568</v>
      </c>
      <c r="Y28" s="21">
        <f t="shared" si="7"/>
        <v>17.115075445816149</v>
      </c>
      <c r="Z28" s="21">
        <f t="shared" si="18"/>
        <v>41.439013714815118</v>
      </c>
      <c r="AA28" s="21">
        <f t="shared" si="19"/>
        <v>7.0808480099420441</v>
      </c>
      <c r="AB28" s="21">
        <f t="shared" si="20"/>
        <v>2.6609862851848831</v>
      </c>
      <c r="AC28" s="23">
        <f t="shared" si="8"/>
        <v>1.1771231312564556</v>
      </c>
      <c r="AD28" s="18">
        <v>29</v>
      </c>
      <c r="AE28" s="18">
        <v>44.1</v>
      </c>
      <c r="AF28" s="87"/>
      <c r="AG28" s="87"/>
    </row>
    <row r="29" spans="1:33" ht="15.75" customHeight="1" x14ac:dyDescent="0.25">
      <c r="A29" s="2">
        <v>12</v>
      </c>
      <c r="B29" s="31">
        <v>31.6</v>
      </c>
      <c r="C29" s="31">
        <v>43.3</v>
      </c>
      <c r="D29" s="4">
        <f t="shared" si="0"/>
        <v>45.455318434779137</v>
      </c>
      <c r="E29" s="4">
        <f t="shared" si="9"/>
        <v>45.455318434779137</v>
      </c>
      <c r="F29" s="4">
        <f t="shared" si="10"/>
        <v>0.95343414542465799</v>
      </c>
      <c r="G29" s="4">
        <f t="shared" si="11"/>
        <v>0.95343414542465799</v>
      </c>
      <c r="I29" s="92" t="s">
        <v>35</v>
      </c>
      <c r="J29" s="108">
        <f>CORREL(C18:C47,B18:B47)</f>
        <v>0.82055177084807784</v>
      </c>
      <c r="K29" s="108">
        <f>CORREL(U18:U47,T18:T47)</f>
        <v>0.82055177084807784</v>
      </c>
      <c r="L29" s="12">
        <f t="shared" si="1"/>
        <v>-1.537037037037031</v>
      </c>
      <c r="M29" s="12">
        <f t="shared" si="2"/>
        <v>-4.5296296296296532</v>
      </c>
      <c r="N29" s="12">
        <f t="shared" si="12"/>
        <v>6.9622085048011062</v>
      </c>
      <c r="O29" s="12">
        <f t="shared" si="13"/>
        <v>2.3624828532235753</v>
      </c>
      <c r="P29" s="12">
        <f t="shared" si="14"/>
        <v>45.455318434779137</v>
      </c>
      <c r="Q29" s="12">
        <f t="shared" si="3"/>
        <v>4.6453975552988025</v>
      </c>
      <c r="R29" s="12">
        <f t="shared" si="15"/>
        <v>2.1553184347791401</v>
      </c>
      <c r="S29" s="17">
        <f t="shared" ref="S29" si="21">IF(A29&gt;0,R29/POWER(SUM($Q$18:$Q$47)/($J$18-2),0.5),"")</f>
        <v>0.95343414542465799</v>
      </c>
      <c r="T29" s="18">
        <f t="shared" si="5"/>
        <v>31.6</v>
      </c>
      <c r="U29" s="18">
        <f t="shared" si="5"/>
        <v>43.3</v>
      </c>
      <c r="V29" s="21">
        <f t="shared" si="16"/>
        <v>-1.537037037037031</v>
      </c>
      <c r="W29" s="21">
        <f t="shared" si="17"/>
        <v>-4.5296296296296532</v>
      </c>
      <c r="X29" s="21">
        <f t="shared" si="6"/>
        <v>6.9622085048011062</v>
      </c>
      <c r="Y29" s="21">
        <f t="shared" si="7"/>
        <v>2.3624828532235753</v>
      </c>
      <c r="Z29" s="21">
        <f t="shared" si="18"/>
        <v>45.455318434779137</v>
      </c>
      <c r="AA29" s="21">
        <f t="shared" si="19"/>
        <v>4.6453975552988025</v>
      </c>
      <c r="AB29" s="21">
        <f t="shared" si="20"/>
        <v>2.1553184347791401</v>
      </c>
      <c r="AC29" s="23">
        <f t="shared" ref="AC29:AC47" si="22">IF(F29&lt;=2,IF(F29&lt;&gt;0,AB29/POWER(SUM($Q$18:$Q$47)/($J$18-2),0.5),""),"")</f>
        <v>0.95343414542465799</v>
      </c>
      <c r="AD29" s="18">
        <v>31.6</v>
      </c>
      <c r="AE29" s="18">
        <v>43.3</v>
      </c>
      <c r="AF29" s="87"/>
      <c r="AG29" s="87"/>
    </row>
    <row r="30" spans="1:33" x14ac:dyDescent="0.25">
      <c r="A30" s="2">
        <v>13</v>
      </c>
      <c r="B30" s="37">
        <v>33.299999999999997</v>
      </c>
      <c r="C30" s="31">
        <v>44.5</v>
      </c>
      <c r="D30" s="4">
        <f t="shared" si="0"/>
        <v>48.081363828601759</v>
      </c>
      <c r="E30" s="4">
        <f t="shared" si="9"/>
        <v>48.081363828601759</v>
      </c>
      <c r="F30" s="4">
        <f t="shared" si="10"/>
        <v>1.5842645366356736</v>
      </c>
      <c r="G30" s="4">
        <f t="shared" si="11"/>
        <v>1.5842645366356736</v>
      </c>
      <c r="I30" s="94"/>
      <c r="J30" s="109"/>
      <c r="K30" s="109"/>
      <c r="L30" s="12">
        <f t="shared" si="1"/>
        <v>0.16296296296296475</v>
      </c>
      <c r="M30" s="12">
        <f t="shared" si="2"/>
        <v>-3.3296296296296504</v>
      </c>
      <c r="N30" s="12">
        <f t="shared" si="12"/>
        <v>-0.54260631001372672</v>
      </c>
      <c r="O30" s="12">
        <f t="shared" si="13"/>
        <v>2.655692729766862E-2</v>
      </c>
      <c r="P30" s="12">
        <f t="shared" si="14"/>
        <v>48.081363828601759</v>
      </c>
      <c r="Q30" s="12">
        <f t="shared" si="3"/>
        <v>12.826166872817051</v>
      </c>
      <c r="R30" s="12">
        <f t="shared" si="15"/>
        <v>3.5813638286017593</v>
      </c>
      <c r="S30" s="17">
        <f t="shared" ref="S30:S47" si="23">IF(A30&gt;0,R30/POWER(SUM($Q$18:$Q$47)/($J$18-2),0.5),"")</f>
        <v>1.5842645366356736</v>
      </c>
      <c r="T30" s="18">
        <f t="shared" si="5"/>
        <v>33.299999999999997</v>
      </c>
      <c r="U30" s="18">
        <f t="shared" si="5"/>
        <v>44.5</v>
      </c>
      <c r="V30" s="21">
        <f t="shared" si="16"/>
        <v>0.16296296296296475</v>
      </c>
      <c r="W30" s="21">
        <f t="shared" si="17"/>
        <v>-3.3296296296296504</v>
      </c>
      <c r="X30" s="21">
        <f t="shared" si="6"/>
        <v>-0.54260631001372672</v>
      </c>
      <c r="Y30" s="21">
        <f t="shared" si="7"/>
        <v>2.655692729766862E-2</v>
      </c>
      <c r="Z30" s="21">
        <f t="shared" si="18"/>
        <v>48.081363828601759</v>
      </c>
      <c r="AA30" s="21">
        <f t="shared" si="19"/>
        <v>12.826166872817051</v>
      </c>
      <c r="AB30" s="21">
        <f t="shared" si="20"/>
        <v>3.5813638286017593</v>
      </c>
      <c r="AC30" s="23">
        <f t="shared" si="22"/>
        <v>1.5842645366356736</v>
      </c>
      <c r="AD30" s="38">
        <v>33.299999999999997</v>
      </c>
      <c r="AE30" s="38">
        <v>44.5</v>
      </c>
      <c r="AF30" s="87"/>
      <c r="AG30" s="87"/>
    </row>
    <row r="31" spans="1:33" x14ac:dyDescent="0.25">
      <c r="A31" s="2">
        <v>14</v>
      </c>
      <c r="B31" s="37">
        <v>32.4</v>
      </c>
      <c r="C31" s="31">
        <v>48.7</v>
      </c>
      <c r="D31" s="4">
        <f t="shared" si="0"/>
        <v>46.691104502460369</v>
      </c>
      <c r="E31" s="4">
        <f t="shared" si="9"/>
        <v>46.691104502460369</v>
      </c>
      <c r="F31" s="4">
        <f t="shared" si="10"/>
        <v>0.88866198657109952</v>
      </c>
      <c r="G31" s="4">
        <f t="shared" si="11"/>
        <v>0.88866198657109952</v>
      </c>
      <c r="I31" s="106" t="s">
        <v>36</v>
      </c>
      <c r="J31" s="102">
        <f>POWER(SUM(Q18:Q47)/(J18-2),0.5)</f>
        <v>2.2605844830732016</v>
      </c>
      <c r="K31" s="102">
        <f>POWER(SUM(AA18:AA47)/(K18-2),0.5)</f>
        <v>2.2605844830732016</v>
      </c>
      <c r="L31" s="12">
        <f t="shared" si="1"/>
        <v>-0.73703703703703383</v>
      </c>
      <c r="M31" s="12">
        <f t="shared" si="2"/>
        <v>0.87037037037035248</v>
      </c>
      <c r="N31" s="12">
        <f t="shared" si="12"/>
        <v>-0.64149519890259032</v>
      </c>
      <c r="O31" s="12">
        <f t="shared" si="13"/>
        <v>0.54322359396432995</v>
      </c>
      <c r="P31" s="12">
        <f t="shared" si="14"/>
        <v>46.691104502460369</v>
      </c>
      <c r="Q31" s="12">
        <f t="shared" si="3"/>
        <v>4.0356611200350114</v>
      </c>
      <c r="R31" s="12">
        <f t="shared" si="15"/>
        <v>2.0088954975396334</v>
      </c>
      <c r="S31" s="17">
        <f t="shared" si="23"/>
        <v>0.88866198657109952</v>
      </c>
      <c r="T31" s="18">
        <f t="shared" si="5"/>
        <v>32.4</v>
      </c>
      <c r="U31" s="18">
        <f t="shared" si="5"/>
        <v>48.7</v>
      </c>
      <c r="V31" s="21">
        <f t="shared" si="16"/>
        <v>-0.73703703703703383</v>
      </c>
      <c r="W31" s="21">
        <f t="shared" si="17"/>
        <v>0.87037037037035248</v>
      </c>
      <c r="X31" s="21">
        <f t="shared" si="6"/>
        <v>-0.64149519890259032</v>
      </c>
      <c r="Y31" s="21">
        <f t="shared" si="7"/>
        <v>0.54322359396432995</v>
      </c>
      <c r="Z31" s="21">
        <f t="shared" si="18"/>
        <v>46.691104502460369</v>
      </c>
      <c r="AA31" s="21">
        <f t="shared" si="19"/>
        <v>4.0356611200350114</v>
      </c>
      <c r="AB31" s="21">
        <f t="shared" si="20"/>
        <v>2.0088954975396334</v>
      </c>
      <c r="AC31" s="23">
        <f t="shared" si="22"/>
        <v>0.88866198657109952</v>
      </c>
      <c r="AD31" s="38">
        <v>32.4</v>
      </c>
      <c r="AE31" s="38">
        <v>48.7</v>
      </c>
      <c r="AF31" s="87"/>
      <c r="AG31" s="87"/>
    </row>
    <row r="32" spans="1:33" x14ac:dyDescent="0.25">
      <c r="A32" s="2">
        <v>15</v>
      </c>
      <c r="B32" s="37">
        <v>34</v>
      </c>
      <c r="C32" s="31">
        <v>51.2</v>
      </c>
      <c r="D32" s="4">
        <f t="shared" si="0"/>
        <v>49.162676637822848</v>
      </c>
      <c r="E32" s="4">
        <f t="shared" si="9"/>
        <v>49.162676637822848</v>
      </c>
      <c r="F32" s="4">
        <f t="shared" si="10"/>
        <v>0.90123743546512824</v>
      </c>
      <c r="G32" s="4">
        <f t="shared" si="11"/>
        <v>0.90123743546512824</v>
      </c>
      <c r="I32" s="94"/>
      <c r="J32" s="103"/>
      <c r="K32" s="103"/>
      <c r="L32" s="12">
        <f t="shared" si="1"/>
        <v>0.86296296296296759</v>
      </c>
      <c r="M32" s="12">
        <f t="shared" si="2"/>
        <v>3.3703703703703525</v>
      </c>
      <c r="N32" s="12">
        <f t="shared" si="12"/>
        <v>2.908504801097394</v>
      </c>
      <c r="O32" s="12">
        <f t="shared" si="13"/>
        <v>0.74470507544582421</v>
      </c>
      <c r="P32" s="12">
        <f t="shared" si="14"/>
        <v>49.162676637822848</v>
      </c>
      <c r="Q32" s="12">
        <f t="shared" si="3"/>
        <v>4.1506864820728255</v>
      </c>
      <c r="R32" s="12">
        <f t="shared" si="15"/>
        <v>2.0373233621771547</v>
      </c>
      <c r="S32" s="17">
        <f t="shared" si="23"/>
        <v>0.90123743546512824</v>
      </c>
      <c r="T32" s="18">
        <f t="shared" si="5"/>
        <v>34</v>
      </c>
      <c r="U32" s="18">
        <f t="shared" si="5"/>
        <v>51.2</v>
      </c>
      <c r="V32" s="21">
        <f t="shared" si="16"/>
        <v>0.86296296296296759</v>
      </c>
      <c r="W32" s="21">
        <f t="shared" si="17"/>
        <v>3.3703703703703525</v>
      </c>
      <c r="X32" s="21">
        <f t="shared" si="6"/>
        <v>2.908504801097394</v>
      </c>
      <c r="Y32" s="21">
        <f t="shared" si="7"/>
        <v>0.74470507544582421</v>
      </c>
      <c r="Z32" s="21">
        <f t="shared" si="18"/>
        <v>49.162676637822848</v>
      </c>
      <c r="AA32" s="21">
        <f t="shared" si="19"/>
        <v>4.1506864820728255</v>
      </c>
      <c r="AB32" s="21">
        <f t="shared" si="20"/>
        <v>2.0373233621771547</v>
      </c>
      <c r="AC32" s="23">
        <f t="shared" si="22"/>
        <v>0.90123743546512824</v>
      </c>
      <c r="AD32" s="38">
        <v>34</v>
      </c>
      <c r="AE32" s="38">
        <v>51.2</v>
      </c>
      <c r="AF32" s="87"/>
      <c r="AG32" s="87"/>
    </row>
    <row r="33" spans="1:33" x14ac:dyDescent="0.25">
      <c r="A33" s="2">
        <v>16</v>
      </c>
      <c r="B33" s="37">
        <v>32.1</v>
      </c>
      <c r="C33" s="31">
        <v>48.5</v>
      </c>
      <c r="D33" s="4">
        <f t="shared" si="0"/>
        <v>46.227684727079911</v>
      </c>
      <c r="E33" s="4">
        <f t="shared" si="9"/>
        <v>46.227684727079911</v>
      </c>
      <c r="F33" s="4">
        <f t="shared" si="10"/>
        <v>1.0051892729224345</v>
      </c>
      <c r="G33" s="4">
        <f t="shared" si="11"/>
        <v>1.0051892729224345</v>
      </c>
      <c r="I33" s="106" t="s">
        <v>37</v>
      </c>
      <c r="J33" s="62">
        <f>J31*100/J26</f>
        <v>4.7263265481629562</v>
      </c>
      <c r="K33" s="62">
        <f>K31*100/K26</f>
        <v>4.7263265481629562</v>
      </c>
      <c r="L33" s="12">
        <f t="shared" si="1"/>
        <v>-1.037037037037031</v>
      </c>
      <c r="M33" s="12">
        <f t="shared" si="2"/>
        <v>0.67037037037034963</v>
      </c>
      <c r="N33" s="12">
        <f t="shared" si="12"/>
        <v>-0.69519890260628447</v>
      </c>
      <c r="O33" s="12">
        <f t="shared" si="13"/>
        <v>1.0754458161865443</v>
      </c>
      <c r="P33" s="12">
        <f t="shared" si="14"/>
        <v>46.227684727079911</v>
      </c>
      <c r="Q33" s="12">
        <f t="shared" si="3"/>
        <v>5.1634166995458992</v>
      </c>
      <c r="R33" s="12">
        <f t="shared" si="15"/>
        <v>2.2723152729200891</v>
      </c>
      <c r="S33" s="17">
        <f t="shared" si="23"/>
        <v>1.0051892729224345</v>
      </c>
      <c r="T33" s="18">
        <f t="shared" si="5"/>
        <v>32.1</v>
      </c>
      <c r="U33" s="18">
        <f t="shared" si="5"/>
        <v>48.5</v>
      </c>
      <c r="V33" s="21">
        <f t="shared" si="16"/>
        <v>-1.037037037037031</v>
      </c>
      <c r="W33" s="21">
        <f t="shared" si="17"/>
        <v>0.67037037037034963</v>
      </c>
      <c r="X33" s="21">
        <f t="shared" si="6"/>
        <v>-0.69519890260628447</v>
      </c>
      <c r="Y33" s="21">
        <f t="shared" si="7"/>
        <v>1.0754458161865443</v>
      </c>
      <c r="Z33" s="21">
        <f t="shared" si="18"/>
        <v>46.227684727079911</v>
      </c>
      <c r="AA33" s="21">
        <f t="shared" si="19"/>
        <v>5.1634166995458992</v>
      </c>
      <c r="AB33" s="21">
        <f t="shared" si="20"/>
        <v>2.2723152729200891</v>
      </c>
      <c r="AC33" s="23">
        <f t="shared" si="22"/>
        <v>1.0051892729224345</v>
      </c>
      <c r="AD33" s="38">
        <v>32.1</v>
      </c>
      <c r="AE33" s="38">
        <v>48.5</v>
      </c>
      <c r="AF33" s="87"/>
      <c r="AG33" s="87"/>
    </row>
    <row r="34" spans="1:33" ht="21.75" customHeight="1" x14ac:dyDescent="0.25">
      <c r="A34" s="2">
        <v>17</v>
      </c>
      <c r="B34" s="37">
        <v>31.7</v>
      </c>
      <c r="C34" s="37">
        <v>44</v>
      </c>
      <c r="D34" s="4">
        <f t="shared" si="0"/>
        <v>45.609791693239288</v>
      </c>
      <c r="E34" s="4">
        <f t="shared" si="9"/>
        <v>45.609791693239288</v>
      </c>
      <c r="F34" s="4">
        <f t="shared" si="10"/>
        <v>0.71211304213272353</v>
      </c>
      <c r="G34" s="4">
        <f t="shared" si="11"/>
        <v>0.71211304213272353</v>
      </c>
      <c r="I34" s="94"/>
      <c r="J34" s="63" t="s">
        <v>38</v>
      </c>
      <c r="K34" s="63" t="s">
        <v>38</v>
      </c>
      <c r="L34" s="12">
        <f t="shared" si="1"/>
        <v>-1.4370370370370331</v>
      </c>
      <c r="M34" s="12">
        <f t="shared" si="2"/>
        <v>-3.8296296296296504</v>
      </c>
      <c r="N34" s="12">
        <f t="shared" si="12"/>
        <v>5.5033196159122229</v>
      </c>
      <c r="O34" s="12">
        <f t="shared" si="13"/>
        <v>2.0650754458161753</v>
      </c>
      <c r="P34" s="12">
        <f t="shared" si="14"/>
        <v>45.609791693239288</v>
      </c>
      <c r="Q34" s="12">
        <f t="shared" si="3"/>
        <v>2.5914292956222131</v>
      </c>
      <c r="R34" s="12">
        <f t="shared" si="15"/>
        <v>1.6097916932392877</v>
      </c>
      <c r="S34" s="17">
        <f t="shared" si="23"/>
        <v>0.71211304213272353</v>
      </c>
      <c r="T34" s="18">
        <f t="shared" ref="T34:U47" si="24">IF($F34&lt;=2,IF($F34&lt;&gt;0,B34,""),"")</f>
        <v>31.7</v>
      </c>
      <c r="U34" s="18">
        <f t="shared" si="24"/>
        <v>44</v>
      </c>
      <c r="V34" s="21">
        <f t="shared" si="16"/>
        <v>-1.4370370370370331</v>
      </c>
      <c r="W34" s="21">
        <f t="shared" si="17"/>
        <v>-3.8296296296296504</v>
      </c>
      <c r="X34" s="21">
        <f t="shared" si="6"/>
        <v>5.5033196159122229</v>
      </c>
      <c r="Y34" s="21">
        <f t="shared" si="7"/>
        <v>2.0650754458161753</v>
      </c>
      <c r="Z34" s="21">
        <f t="shared" si="18"/>
        <v>45.609791693239288</v>
      </c>
      <c r="AA34" s="21">
        <f t="shared" si="19"/>
        <v>2.5914292956222131</v>
      </c>
      <c r="AB34" s="21">
        <f t="shared" si="20"/>
        <v>1.6097916932392877</v>
      </c>
      <c r="AC34" s="23">
        <f t="shared" si="22"/>
        <v>0.71211304213272353</v>
      </c>
      <c r="AD34" s="38">
        <v>31.7</v>
      </c>
      <c r="AE34" s="38">
        <v>44</v>
      </c>
      <c r="AF34" s="87"/>
      <c r="AG34" s="87"/>
    </row>
    <row r="35" spans="1:33" ht="15.75" customHeight="1" x14ac:dyDescent="0.25">
      <c r="A35" s="2">
        <v>18</v>
      </c>
      <c r="B35" s="31">
        <v>33.9</v>
      </c>
      <c r="C35" s="31">
        <v>49.6</v>
      </c>
      <c r="D35" s="4">
        <f t="shared" si="0"/>
        <v>49.008203379362691</v>
      </c>
      <c r="E35" s="4">
        <f t="shared" si="9"/>
        <v>49.008203379362691</v>
      </c>
      <c r="F35" s="4">
        <f t="shared" si="10"/>
        <v>0.26178920764455565</v>
      </c>
      <c r="G35" s="4">
        <f t="shared" si="11"/>
        <v>0.26178920764455565</v>
      </c>
      <c r="I35" s="59" t="s">
        <v>39</v>
      </c>
      <c r="J35" s="62">
        <f>LARGE(S18:S47,1)</f>
        <v>1.5842645366356736</v>
      </c>
      <c r="K35" s="62">
        <f>LARGE(AC18:AC47,1)</f>
        <v>1.5842645366356736</v>
      </c>
      <c r="L35" s="12">
        <f t="shared" si="1"/>
        <v>0.76296296296296617</v>
      </c>
      <c r="M35" s="12">
        <f t="shared" si="2"/>
        <v>1.7703703703703511</v>
      </c>
      <c r="N35" s="12">
        <f t="shared" si="12"/>
        <v>1.3507270233196069</v>
      </c>
      <c r="O35" s="12">
        <f t="shared" si="13"/>
        <v>0.58211248285322847</v>
      </c>
      <c r="P35" s="12">
        <f t="shared" si="14"/>
        <v>49.008203379362691</v>
      </c>
      <c r="Q35" s="12">
        <f t="shared" si="3"/>
        <v>0.35022324019774126</v>
      </c>
      <c r="R35" s="12">
        <f t="shared" si="15"/>
        <v>0.59179662063731087</v>
      </c>
      <c r="S35" s="17">
        <f t="shared" si="23"/>
        <v>0.26178920764455565</v>
      </c>
      <c r="T35" s="18">
        <f t="shared" si="24"/>
        <v>33.9</v>
      </c>
      <c r="U35" s="18">
        <f t="shared" si="24"/>
        <v>49.6</v>
      </c>
      <c r="V35" s="21">
        <f t="shared" si="16"/>
        <v>0.76296296296296617</v>
      </c>
      <c r="W35" s="21">
        <f t="shared" si="17"/>
        <v>1.7703703703703511</v>
      </c>
      <c r="X35" s="21">
        <f t="shared" si="6"/>
        <v>1.3507270233196069</v>
      </c>
      <c r="Y35" s="21">
        <f t="shared" si="7"/>
        <v>0.58211248285322847</v>
      </c>
      <c r="Z35" s="21">
        <f t="shared" si="18"/>
        <v>49.008203379362691</v>
      </c>
      <c r="AA35" s="21">
        <f t="shared" si="19"/>
        <v>0.35022324019774126</v>
      </c>
      <c r="AB35" s="21">
        <f t="shared" si="20"/>
        <v>0.59179662063731087</v>
      </c>
      <c r="AC35" s="23">
        <f t="shared" si="22"/>
        <v>0.26178920764455565</v>
      </c>
      <c r="AD35" s="38">
        <v>33.9</v>
      </c>
      <c r="AE35" s="38">
        <v>49.6</v>
      </c>
      <c r="AF35" s="87"/>
      <c r="AG35" s="87"/>
    </row>
    <row r="36" spans="1:33" ht="18.75" customHeight="1" x14ac:dyDescent="0.25">
      <c r="A36" s="2">
        <v>19</v>
      </c>
      <c r="B36" s="31">
        <v>35</v>
      </c>
      <c r="C36" s="31">
        <v>47.3</v>
      </c>
      <c r="D36" s="4">
        <f t="shared" si="0"/>
        <v>50.707409222424388</v>
      </c>
      <c r="E36" s="4">
        <f t="shared" si="9"/>
        <v>50.707409222424388</v>
      </c>
      <c r="F36" s="4">
        <f t="shared" si="10"/>
        <v>1.5073133731291093</v>
      </c>
      <c r="G36" s="4">
        <f t="shared" si="11"/>
        <v>1.5073133731291093</v>
      </c>
      <c r="I36" s="60" t="s">
        <v>40</v>
      </c>
      <c r="J36" s="60"/>
      <c r="K36" s="60" t="s">
        <v>41</v>
      </c>
      <c r="L36" s="12">
        <f t="shared" si="1"/>
        <v>1.8629629629629676</v>
      </c>
      <c r="M36" s="12">
        <f t="shared" si="2"/>
        <v>-0.52962962962965321</v>
      </c>
      <c r="N36" s="12">
        <f t="shared" si="12"/>
        <v>-0.98668038408783787</v>
      </c>
      <c r="O36" s="12">
        <f t="shared" si="13"/>
        <v>3.4706310013717592</v>
      </c>
      <c r="P36" s="12">
        <f t="shared" si="14"/>
        <v>50.707409222424388</v>
      </c>
      <c r="Q36" s="12">
        <f t="shared" si="3"/>
        <v>11.610437609062794</v>
      </c>
      <c r="R36" s="12">
        <f t="shared" si="15"/>
        <v>3.4074092224243913</v>
      </c>
      <c r="S36" s="17">
        <f t="shared" si="23"/>
        <v>1.5073133731291093</v>
      </c>
      <c r="T36" s="18">
        <f t="shared" si="24"/>
        <v>35</v>
      </c>
      <c r="U36" s="18">
        <f t="shared" si="24"/>
        <v>47.3</v>
      </c>
      <c r="V36" s="21">
        <f t="shared" si="16"/>
        <v>1.8629629629629676</v>
      </c>
      <c r="W36" s="21">
        <f t="shared" si="17"/>
        <v>-0.52962962962965321</v>
      </c>
      <c r="X36" s="21">
        <f t="shared" si="6"/>
        <v>-0.98668038408783787</v>
      </c>
      <c r="Y36" s="21">
        <f t="shared" si="7"/>
        <v>3.4706310013717592</v>
      </c>
      <c r="Z36" s="21">
        <f t="shared" si="18"/>
        <v>50.707409222424388</v>
      </c>
      <c r="AA36" s="21">
        <f t="shared" si="19"/>
        <v>11.610437609062794</v>
      </c>
      <c r="AB36" s="21">
        <f t="shared" si="20"/>
        <v>3.4074092224243913</v>
      </c>
      <c r="AC36" s="23">
        <f t="shared" si="22"/>
        <v>1.5073133731291093</v>
      </c>
      <c r="AD36" s="38">
        <v>35</v>
      </c>
      <c r="AE36" s="38">
        <v>47.3</v>
      </c>
      <c r="AF36" s="87"/>
      <c r="AG36" s="87"/>
    </row>
    <row r="37" spans="1:33" x14ac:dyDescent="0.25">
      <c r="A37" s="2">
        <v>20</v>
      </c>
      <c r="B37" s="31">
        <v>32.1</v>
      </c>
      <c r="C37" s="31">
        <v>48.2</v>
      </c>
      <c r="D37" s="4">
        <f t="shared" si="0"/>
        <v>46.227684727079911</v>
      </c>
      <c r="E37" s="4">
        <f t="shared" si="9"/>
        <v>46.227684727079911</v>
      </c>
      <c r="F37" s="4">
        <f t="shared" si="10"/>
        <v>0.87248023141288855</v>
      </c>
      <c r="G37" s="4">
        <f t="shared" si="11"/>
        <v>0.87248023141288855</v>
      </c>
      <c r="I37" s="92" t="s">
        <v>42</v>
      </c>
      <c r="J37" s="92">
        <f>J17-J18</f>
        <v>0</v>
      </c>
      <c r="K37" s="92">
        <f>K17-K18</f>
        <v>0</v>
      </c>
      <c r="L37" s="12">
        <f t="shared" si="1"/>
        <v>-1.037037037037031</v>
      </c>
      <c r="M37" s="12">
        <f t="shared" si="2"/>
        <v>0.37037037037035248</v>
      </c>
      <c r="N37" s="12">
        <f t="shared" si="12"/>
        <v>-0.38408779149517808</v>
      </c>
      <c r="O37" s="12">
        <f t="shared" si="13"/>
        <v>1.0754458161865443</v>
      </c>
      <c r="P37" s="12">
        <f t="shared" si="14"/>
        <v>46.227684727079911</v>
      </c>
      <c r="Q37" s="12">
        <f t="shared" si="3"/>
        <v>3.8900275357938567</v>
      </c>
      <c r="R37" s="12">
        <f t="shared" si="15"/>
        <v>1.9723152729200919</v>
      </c>
      <c r="S37" s="17">
        <f t="shared" si="23"/>
        <v>0.87248023141288855</v>
      </c>
      <c r="T37" s="18">
        <f t="shared" si="24"/>
        <v>32.1</v>
      </c>
      <c r="U37" s="18">
        <f t="shared" si="24"/>
        <v>48.2</v>
      </c>
      <c r="V37" s="21">
        <f t="shared" si="16"/>
        <v>-1.037037037037031</v>
      </c>
      <c r="W37" s="21">
        <f t="shared" si="17"/>
        <v>0.37037037037035248</v>
      </c>
      <c r="X37" s="21">
        <f t="shared" si="6"/>
        <v>-0.38408779149517808</v>
      </c>
      <c r="Y37" s="21">
        <f t="shared" si="7"/>
        <v>1.0754458161865443</v>
      </c>
      <c r="Z37" s="21">
        <f t="shared" si="18"/>
        <v>46.227684727079911</v>
      </c>
      <c r="AA37" s="21">
        <f t="shared" si="19"/>
        <v>3.8900275357938567</v>
      </c>
      <c r="AB37" s="21">
        <f t="shared" si="20"/>
        <v>1.9723152729200919</v>
      </c>
      <c r="AC37" s="23">
        <f t="shared" si="22"/>
        <v>0.87248023141288855</v>
      </c>
      <c r="AD37" s="38">
        <v>32.1</v>
      </c>
      <c r="AE37" s="38">
        <v>48.2</v>
      </c>
      <c r="AF37" s="87"/>
      <c r="AG37" s="87"/>
    </row>
    <row r="38" spans="1:33" x14ac:dyDescent="0.25">
      <c r="A38" s="2">
        <v>21</v>
      </c>
      <c r="B38" s="31">
        <v>30.9</v>
      </c>
      <c r="C38" s="31">
        <v>44.2</v>
      </c>
      <c r="D38" s="4">
        <f t="shared" si="0"/>
        <v>44.374005625558048</v>
      </c>
      <c r="E38" s="4">
        <f t="shared" si="9"/>
        <v>44.374005625558048</v>
      </c>
      <c r="F38" s="4">
        <f t="shared" si="10"/>
        <v>7.6973732616924695E-2</v>
      </c>
      <c r="G38" s="4">
        <f t="shared" si="11"/>
        <v>7.6973732616924695E-2</v>
      </c>
      <c r="I38" s="94"/>
      <c r="J38" s="94"/>
      <c r="K38" s="94"/>
      <c r="L38" s="12">
        <f t="shared" si="1"/>
        <v>-2.2370370370370338</v>
      </c>
      <c r="M38" s="12">
        <f t="shared" si="2"/>
        <v>-3.6296296296296475</v>
      </c>
      <c r="N38" s="12">
        <f t="shared" si="12"/>
        <v>8.1196159122085323</v>
      </c>
      <c r="O38" s="12">
        <f t="shared" si="13"/>
        <v>5.0043347050754319</v>
      </c>
      <c r="P38" s="12">
        <f t="shared" si="14"/>
        <v>44.374005625558048</v>
      </c>
      <c r="Q38" s="12">
        <f t="shared" si="3"/>
        <v>3.0277957725846755E-2</v>
      </c>
      <c r="R38" s="12">
        <f t="shared" si="15"/>
        <v>0.17400562555804555</v>
      </c>
      <c r="S38" s="17">
        <f t="shared" si="23"/>
        <v>7.6973732616924695E-2</v>
      </c>
      <c r="T38" s="18">
        <f t="shared" si="24"/>
        <v>30.9</v>
      </c>
      <c r="U38" s="18">
        <f t="shared" si="24"/>
        <v>44.2</v>
      </c>
      <c r="V38" s="21">
        <f t="shared" si="16"/>
        <v>-2.2370370370370338</v>
      </c>
      <c r="W38" s="21">
        <f t="shared" si="17"/>
        <v>-3.6296296296296475</v>
      </c>
      <c r="X38" s="21">
        <f t="shared" si="6"/>
        <v>8.1196159122085323</v>
      </c>
      <c r="Y38" s="21">
        <f t="shared" si="7"/>
        <v>5.0043347050754319</v>
      </c>
      <c r="Z38" s="21">
        <f t="shared" si="18"/>
        <v>44.374005625558048</v>
      </c>
      <c r="AA38" s="21">
        <f t="shared" si="19"/>
        <v>3.0277957725846755E-2</v>
      </c>
      <c r="AB38" s="21">
        <f t="shared" si="20"/>
        <v>0.17400562555804555</v>
      </c>
      <c r="AC38" s="23">
        <f t="shared" si="22"/>
        <v>7.6973732616924695E-2</v>
      </c>
      <c r="AD38" s="38">
        <v>30.9</v>
      </c>
      <c r="AE38" s="38">
        <v>44.2</v>
      </c>
      <c r="AF38" s="87"/>
      <c r="AG38" s="87"/>
    </row>
    <row r="39" spans="1:33" x14ac:dyDescent="0.25">
      <c r="A39" s="2">
        <v>22</v>
      </c>
      <c r="B39" s="31">
        <v>32.1</v>
      </c>
      <c r="C39" s="31">
        <v>48.8</v>
      </c>
      <c r="D39" s="4">
        <f t="shared" si="0"/>
        <v>46.227684727079911</v>
      </c>
      <c r="E39" s="4">
        <f t="shared" si="9"/>
        <v>46.227684727079911</v>
      </c>
      <c r="F39" s="4">
        <f t="shared" si="10"/>
        <v>1.1378983144319805</v>
      </c>
      <c r="G39" s="4">
        <f t="shared" si="11"/>
        <v>1.1378983144319805</v>
      </c>
      <c r="I39" s="92" t="s">
        <v>43</v>
      </c>
      <c r="J39" s="59" t="s">
        <v>44</v>
      </c>
      <c r="K39" s="59" t="s">
        <v>44</v>
      </c>
      <c r="L39" s="12">
        <f t="shared" si="1"/>
        <v>-1.037037037037031</v>
      </c>
      <c r="M39" s="12">
        <f t="shared" si="2"/>
        <v>0.97037037037034679</v>
      </c>
      <c r="N39" s="12">
        <f t="shared" si="12"/>
        <v>-1.0063100137173908</v>
      </c>
      <c r="O39" s="12">
        <f t="shared" si="13"/>
        <v>1.0754458161865443</v>
      </c>
      <c r="P39" s="12">
        <f t="shared" si="14"/>
        <v>46.227684727079911</v>
      </c>
      <c r="Q39" s="12">
        <f t="shared" si="3"/>
        <v>6.6168058632979374</v>
      </c>
      <c r="R39" s="12">
        <f t="shared" si="15"/>
        <v>2.5723152729200862</v>
      </c>
      <c r="S39" s="17">
        <f t="shared" si="23"/>
        <v>1.1378983144319805</v>
      </c>
      <c r="T39" s="18">
        <f t="shared" si="24"/>
        <v>32.1</v>
      </c>
      <c r="U39" s="18">
        <f t="shared" si="24"/>
        <v>48.8</v>
      </c>
      <c r="V39" s="21">
        <f t="shared" si="16"/>
        <v>-1.037037037037031</v>
      </c>
      <c r="W39" s="21">
        <f t="shared" si="17"/>
        <v>0.97037037037034679</v>
      </c>
      <c r="X39" s="21">
        <f t="shared" si="6"/>
        <v>-1.0063100137173908</v>
      </c>
      <c r="Y39" s="21">
        <f t="shared" si="7"/>
        <v>1.0754458161865443</v>
      </c>
      <c r="Z39" s="21">
        <f t="shared" si="18"/>
        <v>46.227684727079911</v>
      </c>
      <c r="AA39" s="21">
        <f t="shared" si="19"/>
        <v>6.6168058632979374</v>
      </c>
      <c r="AB39" s="21">
        <f t="shared" si="20"/>
        <v>2.5723152729200862</v>
      </c>
      <c r="AC39" s="23">
        <f t="shared" si="22"/>
        <v>1.1378983144319805</v>
      </c>
      <c r="AD39" s="38">
        <v>32.1</v>
      </c>
      <c r="AE39" s="38">
        <v>48.8</v>
      </c>
      <c r="AF39" s="87"/>
      <c r="AG39" s="87"/>
    </row>
    <row r="40" spans="1:33" x14ac:dyDescent="0.25">
      <c r="A40" s="2">
        <v>23</v>
      </c>
      <c r="B40" s="31">
        <v>33.4</v>
      </c>
      <c r="C40" s="31">
        <v>49.4</v>
      </c>
      <c r="D40" s="4">
        <f t="shared" si="0"/>
        <v>48.235837087061917</v>
      </c>
      <c r="E40" s="4">
        <f t="shared" si="9"/>
        <v>48.235837087061917</v>
      </c>
      <c r="F40" s="4">
        <f t="shared" si="10"/>
        <v>0.51498314778991794</v>
      </c>
      <c r="G40" s="4">
        <f t="shared" si="11"/>
        <v>0.51498314778991794</v>
      </c>
      <c r="I40" s="93"/>
      <c r="J40" s="93" t="str">
        <f>IF(AND(J35&lt;=2,J29&gt;=0.7),"допускается","отбраковать")</f>
        <v>допускается</v>
      </c>
      <c r="K40" s="93" t="str">
        <f>IF(AND(K35&lt;=2,K29&gt;=0.7),"допускается","отбраковать")</f>
        <v>допускается</v>
      </c>
      <c r="L40" s="12">
        <f t="shared" si="1"/>
        <v>0.26296296296296617</v>
      </c>
      <c r="M40" s="12">
        <f t="shared" si="2"/>
        <v>1.5703703703703482</v>
      </c>
      <c r="N40" s="12">
        <f t="shared" si="12"/>
        <v>0.41294924554183737</v>
      </c>
      <c r="O40" s="12">
        <f t="shared" si="13"/>
        <v>6.9149519890262315E-2</v>
      </c>
      <c r="P40" s="12">
        <f t="shared" si="14"/>
        <v>48.235837087061917</v>
      </c>
      <c r="Q40" s="12">
        <f t="shared" si="3"/>
        <v>1.3552752878604797</v>
      </c>
      <c r="R40" s="12">
        <f t="shared" si="15"/>
        <v>1.1641629129380817</v>
      </c>
      <c r="S40" s="17">
        <f t="shared" si="23"/>
        <v>0.51498314778991794</v>
      </c>
      <c r="T40" s="18">
        <f t="shared" si="24"/>
        <v>33.4</v>
      </c>
      <c r="U40" s="18">
        <f t="shared" si="24"/>
        <v>49.4</v>
      </c>
      <c r="V40" s="21">
        <f t="shared" si="16"/>
        <v>0.26296296296296617</v>
      </c>
      <c r="W40" s="21">
        <f t="shared" si="17"/>
        <v>1.5703703703703482</v>
      </c>
      <c r="X40" s="21">
        <f t="shared" si="6"/>
        <v>0.41294924554183737</v>
      </c>
      <c r="Y40" s="21">
        <f t="shared" si="7"/>
        <v>6.9149519890262315E-2</v>
      </c>
      <c r="Z40" s="21">
        <f t="shared" si="18"/>
        <v>48.235837087061917</v>
      </c>
      <c r="AA40" s="21">
        <f t="shared" si="19"/>
        <v>1.3552752878604797</v>
      </c>
      <c r="AB40" s="21">
        <f t="shared" si="20"/>
        <v>1.1641629129380817</v>
      </c>
      <c r="AC40" s="23">
        <f t="shared" si="22"/>
        <v>0.51498314778991794</v>
      </c>
      <c r="AD40" s="38">
        <v>33.4</v>
      </c>
      <c r="AE40" s="38">
        <v>49.4</v>
      </c>
      <c r="AF40" s="87"/>
      <c r="AG40" s="87"/>
    </row>
    <row r="41" spans="1:33" x14ac:dyDescent="0.25">
      <c r="A41" s="2">
        <v>24</v>
      </c>
      <c r="B41" s="31">
        <v>34.9</v>
      </c>
      <c r="C41" s="31">
        <v>50.4</v>
      </c>
      <c r="D41" s="4">
        <f t="shared" si="0"/>
        <v>50.552935963964231</v>
      </c>
      <c r="E41" s="4">
        <f t="shared" si="9"/>
        <v>50.552935963964231</v>
      </c>
      <c r="F41" s="4">
        <f t="shared" si="10"/>
        <v>6.7653283966773087E-2</v>
      </c>
      <c r="G41" s="4">
        <f t="shared" si="11"/>
        <v>6.7653283966773087E-2</v>
      </c>
      <c r="I41" s="94"/>
      <c r="J41" s="94"/>
      <c r="K41" s="94"/>
      <c r="L41" s="12">
        <f t="shared" si="1"/>
        <v>1.7629629629629662</v>
      </c>
      <c r="M41" s="12">
        <f t="shared" si="2"/>
        <v>2.5703703703703482</v>
      </c>
      <c r="N41" s="12">
        <f t="shared" si="12"/>
        <v>4.5314677640603263</v>
      </c>
      <c r="O41" s="12">
        <f t="shared" si="13"/>
        <v>3.1080384087791608</v>
      </c>
      <c r="P41" s="12">
        <f t="shared" si="14"/>
        <v>50.552935963964231</v>
      </c>
      <c r="Q41" s="12">
        <f t="shared" si="3"/>
        <v>2.3389409073668949E-2</v>
      </c>
      <c r="R41" s="12">
        <f t="shared" si="15"/>
        <v>0.15293596396423226</v>
      </c>
      <c r="S41" s="17">
        <f t="shared" si="23"/>
        <v>6.7653283966773087E-2</v>
      </c>
      <c r="T41" s="18">
        <f t="shared" si="24"/>
        <v>34.9</v>
      </c>
      <c r="U41" s="18">
        <f t="shared" si="24"/>
        <v>50.4</v>
      </c>
      <c r="V41" s="21">
        <f t="shared" si="16"/>
        <v>1.7629629629629662</v>
      </c>
      <c r="W41" s="21">
        <f t="shared" si="17"/>
        <v>2.5703703703703482</v>
      </c>
      <c r="X41" s="21">
        <f t="shared" si="6"/>
        <v>4.5314677640603263</v>
      </c>
      <c r="Y41" s="21">
        <f t="shared" si="7"/>
        <v>3.1080384087791608</v>
      </c>
      <c r="Z41" s="21">
        <f t="shared" si="18"/>
        <v>50.552935963964231</v>
      </c>
      <c r="AA41" s="21">
        <f t="shared" si="19"/>
        <v>2.3389409073668949E-2</v>
      </c>
      <c r="AB41" s="21">
        <f t="shared" si="20"/>
        <v>0.15293596396423226</v>
      </c>
      <c r="AC41" s="23">
        <f t="shared" si="22"/>
        <v>6.7653283966773087E-2</v>
      </c>
      <c r="AD41" s="38">
        <v>34.9</v>
      </c>
      <c r="AE41" s="38">
        <v>50.4</v>
      </c>
      <c r="AF41" s="87"/>
      <c r="AG41" s="87"/>
    </row>
    <row r="42" spans="1:33" ht="18.75" x14ac:dyDescent="0.25">
      <c r="A42" s="2">
        <v>25</v>
      </c>
      <c r="B42" s="31">
        <v>35.299999999999997</v>
      </c>
      <c r="C42" s="31">
        <v>47.7</v>
      </c>
      <c r="D42" s="4">
        <f t="shared" si="0"/>
        <v>51.170828997804847</v>
      </c>
      <c r="E42" s="4">
        <f>IF(F42&lt;=2,T42*$K$19+$K$20,"")</f>
        <v>51.170828997804847</v>
      </c>
      <c r="F42" s="4">
        <f t="shared" si="10"/>
        <v>1.5353679651407448</v>
      </c>
      <c r="G42" s="4">
        <f t="shared" si="11"/>
        <v>1.5353679651407448</v>
      </c>
      <c r="I42" s="42" t="s">
        <v>56</v>
      </c>
      <c r="J42" s="2">
        <f>ROUND(0.02*J26,3)</f>
        <v>0.95699999999999996</v>
      </c>
      <c r="K42" s="2">
        <f>ROUND(0.02*K26,3)</f>
        <v>0.95699999999999996</v>
      </c>
      <c r="L42" s="12">
        <f t="shared" si="1"/>
        <v>2.1629629629629648</v>
      </c>
      <c r="M42" s="12">
        <f t="shared" si="2"/>
        <v>-0.12962962962964752</v>
      </c>
      <c r="N42" s="12">
        <f t="shared" si="12"/>
        <v>-0.28038408779153412</v>
      </c>
      <c r="O42" s="12">
        <f t="shared" si="13"/>
        <v>4.6784087791495272</v>
      </c>
      <c r="P42" s="12">
        <f t="shared" si="14"/>
        <v>51.170828997804847</v>
      </c>
      <c r="Q42" s="12">
        <f t="shared" si="3"/>
        <v>12.046653932002979</v>
      </c>
      <c r="R42" s="12">
        <f t="shared" si="15"/>
        <v>3.4708289978048441</v>
      </c>
      <c r="S42" s="17">
        <f t="shared" si="23"/>
        <v>1.5353679651407448</v>
      </c>
      <c r="T42" s="18">
        <f t="shared" si="24"/>
        <v>35.299999999999997</v>
      </c>
      <c r="U42" s="18">
        <f t="shared" si="24"/>
        <v>47.7</v>
      </c>
      <c r="V42" s="21">
        <f t="shared" si="16"/>
        <v>2.1629629629629648</v>
      </c>
      <c r="W42" s="21">
        <f t="shared" si="17"/>
        <v>-0.12962962962964752</v>
      </c>
      <c r="X42" s="21">
        <f t="shared" si="6"/>
        <v>-0.28038408779153412</v>
      </c>
      <c r="Y42" s="21">
        <f t="shared" si="7"/>
        <v>4.6784087791495272</v>
      </c>
      <c r="Z42" s="21">
        <f t="shared" si="18"/>
        <v>51.170828997804847</v>
      </c>
      <c r="AA42" s="21">
        <f t="shared" si="19"/>
        <v>12.046653932002979</v>
      </c>
      <c r="AB42" s="21">
        <f t="shared" si="20"/>
        <v>3.4708289978048441</v>
      </c>
      <c r="AC42" s="23">
        <f t="shared" si="22"/>
        <v>1.5353679651407448</v>
      </c>
      <c r="AD42" s="38">
        <v>35.299999999999997</v>
      </c>
      <c r="AE42" s="38">
        <v>47.7</v>
      </c>
    </row>
    <row r="43" spans="1:33" x14ac:dyDescent="0.25">
      <c r="A43" s="2">
        <v>26</v>
      </c>
      <c r="B43" s="31">
        <v>37.4</v>
      </c>
      <c r="C43" s="31">
        <v>57.4</v>
      </c>
      <c r="D43" s="4">
        <f t="shared" si="0"/>
        <v>54.414767425468099</v>
      </c>
      <c r="E43" s="4">
        <f t="shared" ref="E43:E47" si="25">IF(F43&lt;=2,T43*$K$19+$K$20,"")</f>
        <v>54.414767425468099</v>
      </c>
      <c r="F43" s="4">
        <f t="shared" si="10"/>
        <v>1.320557845497355</v>
      </c>
      <c r="G43" s="4">
        <f t="shared" si="11"/>
        <v>1.320557845497355</v>
      </c>
      <c r="I43" s="114" t="str">
        <f>IF(AND(W51="хорошо",W55="хорошо",W59="хорошо",W63="хорошо"),"Отклонения единичных значений прочности в допустимых пределах от среднего значения участков/образцов.", "Отклонения едининых значений превышает допустимые.")</f>
        <v>Отклонения единичных значений прочности в допустимых пределах от среднего значения участков/образцов.</v>
      </c>
      <c r="J43" s="114"/>
      <c r="K43" s="114"/>
      <c r="L43" s="12">
        <f t="shared" si="1"/>
        <v>4.2629629629629662</v>
      </c>
      <c r="M43" s="12">
        <f t="shared" si="2"/>
        <v>9.5703703703703482</v>
      </c>
      <c r="N43" s="12">
        <f t="shared" si="12"/>
        <v>40.798134430726961</v>
      </c>
      <c r="O43" s="12">
        <f t="shared" si="13"/>
        <v>18.172853223593993</v>
      </c>
      <c r="P43" s="12">
        <f t="shared" si="14"/>
        <v>54.414767425468099</v>
      </c>
      <c r="Q43" s="12">
        <f t="shared" si="3"/>
        <v>8.9116135240463521</v>
      </c>
      <c r="R43" s="12">
        <f t="shared" si="15"/>
        <v>2.9852325745318993</v>
      </c>
      <c r="S43" s="17">
        <f t="shared" si="23"/>
        <v>1.320557845497355</v>
      </c>
      <c r="T43" s="18">
        <f t="shared" si="24"/>
        <v>37.4</v>
      </c>
      <c r="U43" s="18">
        <f t="shared" si="24"/>
        <v>57.4</v>
      </c>
      <c r="V43" s="21">
        <f t="shared" si="16"/>
        <v>4.2629629629629662</v>
      </c>
      <c r="W43" s="21">
        <f t="shared" si="17"/>
        <v>9.5703703703703482</v>
      </c>
      <c r="X43" s="21">
        <f t="shared" si="6"/>
        <v>40.798134430726961</v>
      </c>
      <c r="Y43" s="21">
        <f t="shared" si="7"/>
        <v>18.172853223593993</v>
      </c>
      <c r="Z43" s="21">
        <f t="shared" si="18"/>
        <v>54.414767425468099</v>
      </c>
      <c r="AA43" s="21">
        <f t="shared" si="19"/>
        <v>8.9116135240463521</v>
      </c>
      <c r="AB43" s="21">
        <f t="shared" si="20"/>
        <v>2.9852325745318993</v>
      </c>
      <c r="AC43" s="23">
        <f t="shared" si="22"/>
        <v>1.320557845497355</v>
      </c>
      <c r="AD43" s="38">
        <v>37.4</v>
      </c>
      <c r="AE43" s="38">
        <v>57.4</v>
      </c>
    </row>
    <row r="44" spans="1:33" x14ac:dyDescent="0.25">
      <c r="A44" s="2">
        <v>27</v>
      </c>
      <c r="B44" s="31">
        <v>37.299999999999997</v>
      </c>
      <c r="C44" s="31">
        <v>56.8</v>
      </c>
      <c r="D44" s="4">
        <f t="shared" si="0"/>
        <v>54.260294167007942</v>
      </c>
      <c r="E44" s="4">
        <f t="shared" si="25"/>
        <v>54.260294167007942</v>
      </c>
      <c r="F44" s="4">
        <f t="shared" si="10"/>
        <v>1.1234730893752736</v>
      </c>
      <c r="G44" s="4">
        <f t="shared" si="11"/>
        <v>1.1234730893752736</v>
      </c>
      <c r="I44" s="115"/>
      <c r="J44" s="115"/>
      <c r="K44" s="115"/>
      <c r="L44" s="12">
        <f t="shared" si="1"/>
        <v>4.1629629629629648</v>
      </c>
      <c r="M44" s="12">
        <f t="shared" si="2"/>
        <v>8.9703703703703468</v>
      </c>
      <c r="N44" s="12">
        <f t="shared" si="12"/>
        <v>37.343319615912129</v>
      </c>
      <c r="O44" s="12">
        <f t="shared" si="13"/>
        <v>17.330260631001387</v>
      </c>
      <c r="P44" s="12">
        <f t="shared" si="14"/>
        <v>54.260294167007942</v>
      </c>
      <c r="Q44" s="12">
        <f t="shared" si="3"/>
        <v>6.4501057181338703</v>
      </c>
      <c r="R44" s="12">
        <f t="shared" si="15"/>
        <v>2.5397058329920554</v>
      </c>
      <c r="S44" s="17">
        <f t="shared" si="23"/>
        <v>1.1234730893752736</v>
      </c>
      <c r="T44" s="18">
        <f t="shared" si="24"/>
        <v>37.299999999999997</v>
      </c>
      <c r="U44" s="18">
        <f t="shared" si="24"/>
        <v>56.8</v>
      </c>
      <c r="V44" s="21">
        <f t="shared" si="16"/>
        <v>4.1629629629629648</v>
      </c>
      <c r="W44" s="21">
        <f t="shared" si="17"/>
        <v>8.9703703703703468</v>
      </c>
      <c r="X44" s="21">
        <f t="shared" si="6"/>
        <v>37.343319615912129</v>
      </c>
      <c r="Y44" s="21">
        <f t="shared" si="7"/>
        <v>17.330260631001387</v>
      </c>
      <c r="Z44" s="21">
        <f t="shared" si="18"/>
        <v>54.260294167007942</v>
      </c>
      <c r="AA44" s="21">
        <f t="shared" si="19"/>
        <v>6.4501057181338703</v>
      </c>
      <c r="AB44" s="21">
        <f t="shared" si="20"/>
        <v>2.5397058329920554</v>
      </c>
      <c r="AC44" s="23">
        <f t="shared" si="22"/>
        <v>1.1234730893752736</v>
      </c>
      <c r="AD44" s="38">
        <v>37.299999999999997</v>
      </c>
      <c r="AE44" s="38">
        <v>56.8</v>
      </c>
    </row>
    <row r="45" spans="1:33" x14ac:dyDescent="0.25">
      <c r="A45" s="2"/>
      <c r="B45" s="31"/>
      <c r="C45" s="31"/>
      <c r="D45" s="4" t="str">
        <f t="shared" si="0"/>
        <v/>
      </c>
      <c r="E45" s="4" t="str">
        <f t="shared" si="25"/>
        <v/>
      </c>
      <c r="F45" s="4" t="str">
        <f t="shared" si="10"/>
        <v/>
      </c>
      <c r="G45" s="4" t="str">
        <f t="shared" si="11"/>
        <v/>
      </c>
      <c r="I45" s="115"/>
      <c r="J45" s="115"/>
      <c r="K45" s="115"/>
      <c r="L45" s="12" t="str">
        <f t="shared" si="1"/>
        <v/>
      </c>
      <c r="M45" s="12" t="str">
        <f t="shared" si="2"/>
        <v/>
      </c>
      <c r="N45" s="12" t="str">
        <f t="shared" si="12"/>
        <v/>
      </c>
      <c r="O45" s="12" t="str">
        <f t="shared" si="13"/>
        <v/>
      </c>
      <c r="P45" s="12" t="str">
        <f t="shared" si="14"/>
        <v/>
      </c>
      <c r="Q45" s="12" t="str">
        <f t="shared" si="3"/>
        <v/>
      </c>
      <c r="R45" s="12" t="str">
        <f t="shared" si="15"/>
        <v/>
      </c>
      <c r="S45" s="17" t="str">
        <f t="shared" si="23"/>
        <v/>
      </c>
      <c r="T45" s="18" t="str">
        <f t="shared" si="24"/>
        <v/>
      </c>
      <c r="U45" s="18" t="str">
        <f t="shared" si="24"/>
        <v/>
      </c>
      <c r="V45" s="21" t="str">
        <f t="shared" si="16"/>
        <v/>
      </c>
      <c r="W45" s="21" t="str">
        <f t="shared" si="17"/>
        <v/>
      </c>
      <c r="X45" s="21" t="str">
        <f t="shared" si="6"/>
        <v/>
      </c>
      <c r="Y45" s="21" t="str">
        <f t="shared" si="7"/>
        <v/>
      </c>
      <c r="Z45" s="21" t="str">
        <f t="shared" si="18"/>
        <v/>
      </c>
      <c r="AA45" s="21" t="str">
        <f t="shared" si="19"/>
        <v/>
      </c>
      <c r="AB45" s="21" t="str">
        <f t="shared" si="20"/>
        <v/>
      </c>
      <c r="AC45" s="23" t="str">
        <f t="shared" si="22"/>
        <v/>
      </c>
      <c r="AD45" s="38"/>
      <c r="AE45" s="38"/>
    </row>
    <row r="46" spans="1:33" x14ac:dyDescent="0.25">
      <c r="A46" s="2"/>
      <c r="B46" s="31"/>
      <c r="C46" s="31"/>
      <c r="D46" s="4" t="str">
        <f t="shared" si="0"/>
        <v/>
      </c>
      <c r="E46" s="4" t="str">
        <f t="shared" si="25"/>
        <v/>
      </c>
      <c r="F46" s="4" t="str">
        <f t="shared" si="10"/>
        <v/>
      </c>
      <c r="G46" s="4" t="str">
        <f t="shared" si="11"/>
        <v/>
      </c>
      <c r="I46" s="115"/>
      <c r="J46" s="115"/>
      <c r="K46" s="115"/>
      <c r="L46" s="12" t="str">
        <f t="shared" si="1"/>
        <v/>
      </c>
      <c r="M46" s="12" t="str">
        <f t="shared" si="2"/>
        <v/>
      </c>
      <c r="N46" s="12" t="str">
        <f t="shared" si="12"/>
        <v/>
      </c>
      <c r="O46" s="12" t="str">
        <f t="shared" si="13"/>
        <v/>
      </c>
      <c r="P46" s="12" t="str">
        <f t="shared" si="14"/>
        <v/>
      </c>
      <c r="Q46" s="12" t="str">
        <f t="shared" si="3"/>
        <v/>
      </c>
      <c r="R46" s="12" t="str">
        <f t="shared" si="15"/>
        <v/>
      </c>
      <c r="S46" s="17" t="str">
        <f t="shared" si="23"/>
        <v/>
      </c>
      <c r="T46" s="18" t="str">
        <f t="shared" si="24"/>
        <v/>
      </c>
      <c r="U46" s="18" t="str">
        <f t="shared" si="24"/>
        <v/>
      </c>
      <c r="V46" s="21" t="str">
        <f t="shared" si="16"/>
        <v/>
      </c>
      <c r="W46" s="21" t="str">
        <f t="shared" si="17"/>
        <v/>
      </c>
      <c r="X46" s="21" t="str">
        <f t="shared" si="6"/>
        <v/>
      </c>
      <c r="Y46" s="21" t="str">
        <f t="shared" si="7"/>
        <v/>
      </c>
      <c r="Z46" s="21" t="str">
        <f t="shared" si="18"/>
        <v/>
      </c>
      <c r="AA46" s="21" t="str">
        <f t="shared" si="19"/>
        <v/>
      </c>
      <c r="AB46" s="21" t="str">
        <f t="shared" si="20"/>
        <v/>
      </c>
      <c r="AC46" s="23" t="str">
        <f t="shared" si="22"/>
        <v/>
      </c>
      <c r="AD46" s="38"/>
      <c r="AE46" s="38"/>
    </row>
    <row r="47" spans="1:33" x14ac:dyDescent="0.25">
      <c r="A47" s="2"/>
      <c r="B47" s="31"/>
      <c r="C47" s="31"/>
      <c r="D47" s="62" t="str">
        <f t="shared" si="0"/>
        <v/>
      </c>
      <c r="E47" s="62" t="str">
        <f t="shared" si="25"/>
        <v/>
      </c>
      <c r="F47" s="62" t="str">
        <f t="shared" si="10"/>
        <v/>
      </c>
      <c r="G47" s="62" t="str">
        <f t="shared" si="11"/>
        <v/>
      </c>
      <c r="I47" s="1"/>
      <c r="J47" s="1"/>
      <c r="K47" s="1"/>
      <c r="L47" s="12" t="str">
        <f t="shared" si="1"/>
        <v/>
      </c>
      <c r="M47" s="12" t="str">
        <f>IF(A47&gt;0,C47-$J$26,"")</f>
        <v/>
      </c>
      <c r="N47" s="12" t="str">
        <f t="shared" si="12"/>
        <v/>
      </c>
      <c r="O47" s="12" t="str">
        <f t="shared" si="13"/>
        <v/>
      </c>
      <c r="P47" s="12" t="str">
        <f t="shared" si="14"/>
        <v/>
      </c>
      <c r="Q47" s="12" t="str">
        <f t="shared" si="3"/>
        <v/>
      </c>
      <c r="R47" s="12" t="str">
        <f t="shared" si="15"/>
        <v/>
      </c>
      <c r="S47" s="17" t="str">
        <f t="shared" si="23"/>
        <v/>
      </c>
      <c r="T47" s="18" t="str">
        <f t="shared" ref="T47" si="26">IF($F47&lt;=2,IF(F47&lt;&gt;0,B47,""),"")</f>
        <v/>
      </c>
      <c r="U47" s="18" t="str">
        <f t="shared" si="24"/>
        <v/>
      </c>
      <c r="V47" s="21" t="str">
        <f t="shared" si="16"/>
        <v/>
      </c>
      <c r="W47" s="21" t="str">
        <f t="shared" si="17"/>
        <v/>
      </c>
      <c r="X47" s="21" t="str">
        <f t="shared" si="6"/>
        <v/>
      </c>
      <c r="Y47" s="21" t="str">
        <f t="shared" si="7"/>
        <v/>
      </c>
      <c r="Z47" s="21" t="str">
        <f t="shared" si="18"/>
        <v/>
      </c>
      <c r="AA47" s="21" t="str">
        <f t="shared" si="19"/>
        <v/>
      </c>
      <c r="AB47" s="21" t="str">
        <f t="shared" si="20"/>
        <v/>
      </c>
      <c r="AC47" s="23" t="str">
        <f t="shared" si="22"/>
        <v/>
      </c>
      <c r="AD47" s="38"/>
      <c r="AE47" s="38"/>
    </row>
    <row r="48" spans="1:33" x14ac:dyDescent="0.25">
      <c r="A48" s="5"/>
      <c r="B48" s="5"/>
      <c r="C48" s="5"/>
      <c r="D48" s="5"/>
      <c r="E48" s="5"/>
      <c r="F48" s="7"/>
      <c r="G48" s="5"/>
      <c r="L48" s="15"/>
      <c r="M48" s="15"/>
      <c r="N48" s="15"/>
      <c r="O48" s="15"/>
      <c r="P48" s="15"/>
      <c r="Q48" s="15"/>
      <c r="R48" s="15"/>
      <c r="S48" s="19"/>
      <c r="T48" s="20"/>
      <c r="U48" s="20"/>
      <c r="V48" s="22"/>
      <c r="W48" s="22"/>
      <c r="X48" s="22"/>
      <c r="Y48" s="22"/>
      <c r="Z48" s="22"/>
      <c r="AA48" s="22"/>
      <c r="AB48" s="22"/>
      <c r="AC48" s="24"/>
    </row>
    <row r="49" spans="1:23" x14ac:dyDescent="0.25">
      <c r="A49" s="1"/>
      <c r="B49" s="1"/>
      <c r="C49" s="1"/>
      <c r="D49" s="1"/>
      <c r="E49" s="1"/>
      <c r="F49" s="8"/>
      <c r="G49" s="1"/>
      <c r="L49" s="116" t="s">
        <v>78</v>
      </c>
      <c r="M49" s="116"/>
      <c r="N49" s="116"/>
      <c r="O49" s="116"/>
      <c r="P49" s="116"/>
      <c r="Q49" s="87"/>
      <c r="R49" s="87"/>
      <c r="S49" s="87"/>
      <c r="T49" s="87"/>
      <c r="U49" s="87"/>
      <c r="V49" s="87"/>
      <c r="W49" s="87"/>
    </row>
    <row r="50" spans="1:23" ht="19.5" customHeight="1" x14ac:dyDescent="0.25">
      <c r="A50" s="1"/>
      <c r="B50" s="1"/>
      <c r="C50" s="1"/>
      <c r="D50" s="1"/>
      <c r="E50" s="1"/>
      <c r="F50" s="8"/>
      <c r="G50" s="1"/>
      <c r="H50" s="111" t="s">
        <v>45</v>
      </c>
      <c r="I50" s="112"/>
      <c r="J50" s="16" t="s">
        <v>46</v>
      </c>
      <c r="L50" s="72"/>
      <c r="M50" s="73" t="s">
        <v>61</v>
      </c>
      <c r="N50" s="73"/>
      <c r="O50" s="73" t="s">
        <v>62</v>
      </c>
      <c r="P50" s="73" t="s">
        <v>63</v>
      </c>
      <c r="Q50" s="73" t="s">
        <v>64</v>
      </c>
      <c r="R50" s="117" t="s">
        <v>65</v>
      </c>
      <c r="S50" s="117"/>
      <c r="T50" s="75" t="s">
        <v>66</v>
      </c>
      <c r="U50" s="118" t="s">
        <v>64</v>
      </c>
      <c r="V50" s="118"/>
      <c r="W50" s="75" t="s">
        <v>67</v>
      </c>
    </row>
    <row r="51" spans="1:23" x14ac:dyDescent="0.25">
      <c r="A51" s="1"/>
      <c r="B51" s="1"/>
      <c r="C51" s="1"/>
      <c r="D51" s="1"/>
      <c r="E51" s="1"/>
      <c r="F51" s="8"/>
      <c r="G51" s="1"/>
      <c r="L51" s="74" t="s">
        <v>68</v>
      </c>
      <c r="M51" s="76">
        <f>K25</f>
        <v>33.137037037037032</v>
      </c>
      <c r="N51" s="119" t="s">
        <v>69</v>
      </c>
      <c r="O51" s="65">
        <v>0</v>
      </c>
      <c r="P51" s="3">
        <v>20</v>
      </c>
      <c r="Q51" s="74" t="str">
        <f>IF(AND($M$51&lt;=P51,$M$51&gt;O51),"+","-")</f>
        <v>-</v>
      </c>
      <c r="R51" s="74">
        <v>0.5</v>
      </c>
      <c r="S51" s="74">
        <v>1.5</v>
      </c>
      <c r="T51" s="74">
        <f>M52/M51</f>
        <v>0.87515368279870365</v>
      </c>
      <c r="U51" s="74">
        <f>VLOOKUP("+",Q51:S54,2,FALSE)</f>
        <v>0.6</v>
      </c>
      <c r="V51" s="74">
        <f>VLOOKUP("+",Q51:S54,3,FALSE)</f>
        <v>1.4</v>
      </c>
      <c r="W51" s="74" t="str">
        <f>IF(AND(M52/M51&gt;=U51,M52/M51&lt;=V51),"хорошо","больший разброс")</f>
        <v>хорошо</v>
      </c>
    </row>
    <row r="52" spans="1:23" ht="18" customHeight="1" x14ac:dyDescent="0.25">
      <c r="A52" s="1"/>
      <c r="B52" s="1"/>
      <c r="C52" s="1"/>
      <c r="D52" s="1"/>
      <c r="E52" s="1"/>
      <c r="F52" s="1"/>
      <c r="G52" s="1"/>
      <c r="I52" s="113"/>
      <c r="J52" s="113"/>
      <c r="K52" s="113"/>
      <c r="L52" s="74" t="s">
        <v>70</v>
      </c>
      <c r="M52" s="74">
        <f>K24</f>
        <v>29</v>
      </c>
      <c r="N52" s="120"/>
      <c r="O52" s="65">
        <v>20</v>
      </c>
      <c r="P52" s="2">
        <v>50</v>
      </c>
      <c r="Q52" s="74" t="str">
        <f t="shared" ref="Q52:Q54" si="27">IF(AND($M$51&lt;=P52,$M$51&gt;O52),"+","-")</f>
        <v>+</v>
      </c>
      <c r="R52" s="74">
        <v>0.6</v>
      </c>
      <c r="S52" s="74">
        <v>1.4</v>
      </c>
      <c r="T52" s="67"/>
      <c r="U52" s="67"/>
      <c r="V52" s="67"/>
      <c r="W52" s="68"/>
    </row>
    <row r="53" spans="1:23" ht="15.75" customHeight="1" x14ac:dyDescent="0.25">
      <c r="A53" s="1"/>
      <c r="B53" s="1"/>
      <c r="C53" s="1"/>
      <c r="D53" s="1"/>
      <c r="E53" s="1"/>
      <c r="F53" s="1"/>
      <c r="G53" s="1"/>
      <c r="I53" s="113"/>
      <c r="J53" s="113"/>
      <c r="K53" s="113"/>
      <c r="L53" s="74" t="s">
        <v>71</v>
      </c>
      <c r="M53" s="74">
        <f>K23</f>
        <v>37.4</v>
      </c>
      <c r="N53" s="120"/>
      <c r="O53" s="65">
        <v>50</v>
      </c>
      <c r="P53" s="2">
        <v>80</v>
      </c>
      <c r="Q53" s="74" t="str">
        <f t="shared" si="27"/>
        <v>-</v>
      </c>
      <c r="R53" s="74">
        <v>0.7</v>
      </c>
      <c r="S53" s="74">
        <v>1.3</v>
      </c>
      <c r="T53" s="67"/>
      <c r="U53" s="67"/>
      <c r="V53" s="67"/>
      <c r="W53" s="68"/>
    </row>
    <row r="54" spans="1:23" x14ac:dyDescent="0.25">
      <c r="L54" s="66"/>
      <c r="M54" s="67"/>
      <c r="N54" s="120"/>
      <c r="O54" s="65">
        <v>80</v>
      </c>
      <c r="P54" s="2"/>
      <c r="Q54" s="74" t="str">
        <f t="shared" si="27"/>
        <v>-</v>
      </c>
      <c r="R54" s="74">
        <v>0.8</v>
      </c>
      <c r="S54" s="74">
        <v>1.2</v>
      </c>
      <c r="T54" s="67"/>
      <c r="U54" s="67"/>
      <c r="V54" s="67"/>
      <c r="W54" s="68"/>
    </row>
    <row r="55" spans="1:23" x14ac:dyDescent="0.25">
      <c r="L55" s="66"/>
      <c r="M55" s="67"/>
      <c r="N55" s="110" t="s">
        <v>72</v>
      </c>
      <c r="O55" s="65">
        <v>0</v>
      </c>
      <c r="P55" s="3">
        <v>20</v>
      </c>
      <c r="Q55" s="74" t="str">
        <f>IF(AND($M$51&lt;=P55,$M$51&gt;O55),"+","-")</f>
        <v>-</v>
      </c>
      <c r="R55" s="74">
        <v>0.5</v>
      </c>
      <c r="S55" s="74">
        <v>1.5</v>
      </c>
      <c r="T55" s="74">
        <f>M53/M51</f>
        <v>1.1286464736783282</v>
      </c>
      <c r="U55" s="74">
        <f>VLOOKUP("+",Q55:S58,2,FALSE)</f>
        <v>0.6</v>
      </c>
      <c r="V55" s="74">
        <f>VLOOKUP("+",Q55:S58,3,FALSE)</f>
        <v>1.4</v>
      </c>
      <c r="W55" s="74" t="str">
        <f>IF(AND(M53/M51&gt;=U55,M53/M51&lt;=V55),"хорошо","больший разброс")</f>
        <v>хорошо</v>
      </c>
    </row>
    <row r="56" spans="1:23" x14ac:dyDescent="0.25">
      <c r="L56" s="66"/>
      <c r="M56" s="67"/>
      <c r="N56" s="110"/>
      <c r="O56" s="65">
        <v>20</v>
      </c>
      <c r="P56" s="2">
        <v>50</v>
      </c>
      <c r="Q56" s="74" t="str">
        <f t="shared" ref="Q56:Q58" si="28">IF(AND($M$51&lt;=P56,$M$51&gt;O56),"+","-")</f>
        <v>+</v>
      </c>
      <c r="R56" s="74">
        <v>0.6</v>
      </c>
      <c r="S56" s="74">
        <v>1.4</v>
      </c>
      <c r="T56" s="67"/>
      <c r="U56" s="67"/>
      <c r="V56" s="67"/>
      <c r="W56" s="68"/>
    </row>
    <row r="57" spans="1:23" ht="18" customHeight="1" x14ac:dyDescent="0.25">
      <c r="L57" s="66"/>
      <c r="M57" s="67"/>
      <c r="N57" s="110"/>
      <c r="O57" s="65">
        <v>50</v>
      </c>
      <c r="P57" s="2">
        <v>80</v>
      </c>
      <c r="Q57" s="74" t="str">
        <f t="shared" si="28"/>
        <v>-</v>
      </c>
      <c r="R57" s="74">
        <v>0.7</v>
      </c>
      <c r="S57" s="74">
        <v>1.3</v>
      </c>
      <c r="T57" s="67"/>
      <c r="U57" s="67"/>
      <c r="V57" s="67"/>
      <c r="W57" s="68"/>
    </row>
    <row r="58" spans="1:23" ht="21" customHeight="1" x14ac:dyDescent="0.25">
      <c r="L58" s="69"/>
      <c r="M58" s="70"/>
      <c r="N58" s="110"/>
      <c r="O58" s="65">
        <v>80</v>
      </c>
      <c r="P58" s="2"/>
      <c r="Q58" s="74" t="str">
        <f t="shared" si="28"/>
        <v>-</v>
      </c>
      <c r="R58" s="74">
        <v>0.8</v>
      </c>
      <c r="S58" s="74">
        <v>1.2</v>
      </c>
      <c r="T58" s="70"/>
      <c r="U58" s="70"/>
      <c r="V58" s="70"/>
      <c r="W58" s="71"/>
    </row>
    <row r="59" spans="1:23" x14ac:dyDescent="0.25">
      <c r="L59" s="74" t="s">
        <v>73</v>
      </c>
      <c r="M59" s="76">
        <f>K26</f>
        <v>47.82962962962965</v>
      </c>
      <c r="N59" s="110" t="s">
        <v>74</v>
      </c>
      <c r="O59" s="2">
        <v>0</v>
      </c>
      <c r="P59" s="3">
        <v>20</v>
      </c>
      <c r="Q59" s="74" t="str">
        <f>IF(AND($M$59&lt;=P59,$M$59&gt;O59),"+","-")</f>
        <v>-</v>
      </c>
      <c r="R59" s="74">
        <v>0.5</v>
      </c>
      <c r="S59" s="74">
        <v>1.5</v>
      </c>
      <c r="T59" s="74">
        <f>M60/M59</f>
        <v>0.86975375561406187</v>
      </c>
      <c r="U59" s="74">
        <f>VLOOKUP("+",Q59:S62,2,FALSE)</f>
        <v>0.6</v>
      </c>
      <c r="V59" s="74">
        <f>VLOOKUP("+",Q59:S62,3,FALSE)</f>
        <v>1.4</v>
      </c>
      <c r="W59" s="74" t="str">
        <f>IF(AND(M60/M59&gt;=U59,M60/M59&lt;=V59),"хорошо","больший разброс")</f>
        <v>хорошо</v>
      </c>
    </row>
    <row r="60" spans="1:23" x14ac:dyDescent="0.25">
      <c r="L60" s="74" t="s">
        <v>75</v>
      </c>
      <c r="M60" s="74">
        <f>K22</f>
        <v>41.6</v>
      </c>
      <c r="N60" s="110"/>
      <c r="O60" s="2">
        <v>20</v>
      </c>
      <c r="P60" s="2">
        <v>50</v>
      </c>
      <c r="Q60" s="74" t="str">
        <f t="shared" ref="Q60:Q62" si="29">IF(AND($M$59&lt;=P60,$M$59&gt;O60),"+","-")</f>
        <v>+</v>
      </c>
      <c r="R60" s="74">
        <v>0.6</v>
      </c>
      <c r="S60" s="74">
        <v>1.4</v>
      </c>
      <c r="T60" s="67"/>
      <c r="U60" s="67"/>
      <c r="V60" s="67"/>
      <c r="W60" s="68"/>
    </row>
    <row r="61" spans="1:23" x14ac:dyDescent="0.25">
      <c r="L61" s="74" t="s">
        <v>76</v>
      </c>
      <c r="M61" s="74">
        <f>K21</f>
        <v>57.4</v>
      </c>
      <c r="N61" s="110"/>
      <c r="O61" s="2">
        <v>50</v>
      </c>
      <c r="P61" s="2">
        <v>80</v>
      </c>
      <c r="Q61" s="74" t="str">
        <f t="shared" si="29"/>
        <v>-</v>
      </c>
      <c r="R61" s="74">
        <v>0.7</v>
      </c>
      <c r="S61" s="74">
        <v>1.3</v>
      </c>
      <c r="T61" s="67"/>
      <c r="U61" s="67"/>
      <c r="V61" s="67"/>
      <c r="W61" s="68"/>
    </row>
    <row r="62" spans="1:23" x14ac:dyDescent="0.25">
      <c r="L62" s="66"/>
      <c r="M62" s="67"/>
      <c r="N62" s="110"/>
      <c r="O62" s="2">
        <v>80</v>
      </c>
      <c r="P62" s="2"/>
      <c r="Q62" s="74" t="str">
        <f t="shared" si="29"/>
        <v>-</v>
      </c>
      <c r="R62" s="74">
        <v>0.8</v>
      </c>
      <c r="S62" s="74">
        <v>1.2</v>
      </c>
      <c r="T62" s="67"/>
      <c r="U62" s="67"/>
      <c r="V62" s="67"/>
      <c r="W62" s="68"/>
    </row>
    <row r="63" spans="1:23" x14ac:dyDescent="0.25">
      <c r="L63" s="66"/>
      <c r="M63" s="67"/>
      <c r="N63" s="110" t="s">
        <v>77</v>
      </c>
      <c r="O63" s="2">
        <v>0</v>
      </c>
      <c r="P63" s="3">
        <v>20</v>
      </c>
      <c r="Q63" s="74" t="str">
        <f>IF(AND($M$59&lt;=P63,$M$59&gt;O63),"+","-")</f>
        <v>-</v>
      </c>
      <c r="R63" s="74">
        <v>0.5</v>
      </c>
      <c r="S63" s="74">
        <v>1.5</v>
      </c>
      <c r="T63" s="74">
        <f>M61/M59</f>
        <v>1.2000929224097874</v>
      </c>
      <c r="U63" s="74">
        <f>VLOOKUP("+",Q63:S66,2,FALSE)</f>
        <v>0.6</v>
      </c>
      <c r="V63" s="74">
        <f>VLOOKUP("+",Q63:S66,3,FALSE)</f>
        <v>1.4</v>
      </c>
      <c r="W63" s="74" t="str">
        <f>IF(AND(M61/M59&gt;=U63,M61/M59&lt;=V63),"хорошо","больший разброс")</f>
        <v>хорошо</v>
      </c>
    </row>
    <row r="64" spans="1:23" x14ac:dyDescent="0.25">
      <c r="L64" s="66"/>
      <c r="M64" s="67"/>
      <c r="N64" s="110"/>
      <c r="O64" s="2">
        <v>20</v>
      </c>
      <c r="P64" s="2">
        <v>50</v>
      </c>
      <c r="Q64" s="74" t="str">
        <f t="shared" ref="Q64:Q66" si="30">IF(AND($M$59&lt;=P64,$M$59&gt;O64),"+","-")</f>
        <v>+</v>
      </c>
      <c r="R64" s="74">
        <v>0.6</v>
      </c>
      <c r="S64" s="74">
        <v>1.4</v>
      </c>
      <c r="T64" s="67"/>
      <c r="U64" s="67"/>
      <c r="V64" s="67"/>
      <c r="W64" s="68"/>
    </row>
    <row r="65" spans="3:23" x14ac:dyDescent="0.25">
      <c r="L65" s="66"/>
      <c r="M65" s="67"/>
      <c r="N65" s="110"/>
      <c r="O65" s="2">
        <v>50</v>
      </c>
      <c r="P65" s="2">
        <v>80</v>
      </c>
      <c r="Q65" s="74" t="str">
        <f t="shared" si="30"/>
        <v>-</v>
      </c>
      <c r="R65" s="74">
        <v>0.7</v>
      </c>
      <c r="S65" s="74">
        <v>1.3</v>
      </c>
      <c r="T65" s="67"/>
      <c r="U65" s="67"/>
      <c r="V65" s="67"/>
      <c r="W65" s="68"/>
    </row>
    <row r="66" spans="3:23" ht="15.75" customHeight="1" x14ac:dyDescent="0.25">
      <c r="C66" s="46"/>
      <c r="D66" s="46"/>
      <c r="J66" s="41"/>
      <c r="L66" s="69"/>
      <c r="M66" s="70"/>
      <c r="N66" s="110"/>
      <c r="O66" s="2">
        <v>80</v>
      </c>
      <c r="P66" s="2"/>
      <c r="Q66" s="74" t="str">
        <f t="shared" si="30"/>
        <v>-</v>
      </c>
      <c r="R66" s="74">
        <v>0.8</v>
      </c>
      <c r="S66" s="74">
        <v>1.2</v>
      </c>
      <c r="T66" s="70"/>
      <c r="U66" s="70"/>
      <c r="V66" s="70"/>
      <c r="W66" s="71"/>
    </row>
    <row r="67" spans="3:23" ht="21" customHeight="1" x14ac:dyDescent="0.25">
      <c r="F67" s="1"/>
    </row>
    <row r="68" spans="3:23" ht="18.75" customHeight="1" x14ac:dyDescent="0.25">
      <c r="C68" s="46"/>
      <c r="D68" s="46"/>
      <c r="F68" s="47" t="s">
        <v>87</v>
      </c>
      <c r="G68" s="9"/>
      <c r="H68" s="9"/>
      <c r="I68" s="48" t="s">
        <v>88</v>
      </c>
      <c r="J68" s="41"/>
    </row>
    <row r="69" spans="3:23" ht="15.75" customHeight="1" x14ac:dyDescent="0.25">
      <c r="N69" s="64"/>
    </row>
  </sheetData>
  <mergeCells count="47">
    <mergeCell ref="N63:N66"/>
    <mergeCell ref="I39:I41"/>
    <mergeCell ref="J40:J41"/>
    <mergeCell ref="K40:K41"/>
    <mergeCell ref="H50:I50"/>
    <mergeCell ref="I52:K53"/>
    <mergeCell ref="I43:K46"/>
    <mergeCell ref="L49:W49"/>
    <mergeCell ref="R50:S50"/>
    <mergeCell ref="U50:V50"/>
    <mergeCell ref="N51:N54"/>
    <mergeCell ref="N55:N58"/>
    <mergeCell ref="N59:N62"/>
    <mergeCell ref="E12:G12"/>
    <mergeCell ref="I29:I30"/>
    <mergeCell ref="J29:J30"/>
    <mergeCell ref="K29:K30"/>
    <mergeCell ref="I31:I32"/>
    <mergeCell ref="L16:S16"/>
    <mergeCell ref="T16:AC16"/>
    <mergeCell ref="I33:I34"/>
    <mergeCell ref="I37:I38"/>
    <mergeCell ref="J37:J38"/>
    <mergeCell ref="K37:K38"/>
    <mergeCell ref="AD16:AE17"/>
    <mergeCell ref="AF16:AG41"/>
    <mergeCell ref="T17:U17"/>
    <mergeCell ref="A13:B13"/>
    <mergeCell ref="A14:C14"/>
    <mergeCell ref="D14:K14"/>
    <mergeCell ref="A15:A17"/>
    <mergeCell ref="B15:B17"/>
    <mergeCell ref="C15:E15"/>
    <mergeCell ref="F15:G16"/>
    <mergeCell ref="I15:I16"/>
    <mergeCell ref="J15:K15"/>
    <mergeCell ref="C16:C17"/>
    <mergeCell ref="D16:E16"/>
    <mergeCell ref="J31:J32"/>
    <mergeCell ref="K31:K32"/>
    <mergeCell ref="A1:K1"/>
    <mergeCell ref="O4:S4"/>
    <mergeCell ref="A7:K7"/>
    <mergeCell ref="A8:K8"/>
    <mergeCell ref="A9:K9"/>
    <mergeCell ref="G5:K6"/>
    <mergeCell ref="O5:Q5"/>
  </mergeCells>
  <conditionalFormatting sqref="J47 J40:J42">
    <cfRule type="containsText" dxfId="3" priority="3" operator="containsText" text="допускается">
      <formula>NOT(ISERROR(SEARCH("допускается",J40)))</formula>
    </cfRule>
    <cfRule type="containsText" dxfId="2" priority="4" operator="containsText" text="отбраковать">
      <formula>NOT(ISERROR(SEARCH("отбраковать",J40)))</formula>
    </cfRule>
  </conditionalFormatting>
  <conditionalFormatting sqref="K40:K42 K47">
    <cfRule type="containsText" dxfId="1" priority="1" operator="containsText" text="допускается">
      <formula>NOT(ISERROR(SEARCH("допускается",K40)))</formula>
    </cfRule>
    <cfRule type="containsText" dxfId="0" priority="2" operator="containsText" text="отбраковать">
      <formula>NOT(ISERROR(SEARCH("отбраковать",K40)))</formula>
    </cfRule>
  </conditionalFormatting>
  <pageMargins left="0.70763888888888904" right="0.70763888888888904" top="0.59027777777777801" bottom="0.74791666666666701" header="0" footer="0.31388888888888899"/>
  <pageSetup paperSize="9" scale="68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В25 28c База 25.10.21  </vt:lpstr>
      <vt:lpstr>'В25 28c База 25.10.21  '!Область_печати</vt:lpstr>
    </vt:vector>
  </TitlesOfParts>
  <Company>ЧТФ "Мостоотряд-41" филиал ОАО "МОСТОТРЕСТ"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Долгов Алексей Владимирович</dc:creator>
  <cp:lastModifiedBy>Долгов Алексей Владимирович</cp:lastModifiedBy>
  <cp:lastPrinted>2021-11-15T07:54:04Z</cp:lastPrinted>
  <dcterms:created xsi:type="dcterms:W3CDTF">2013-07-03T16:54:00Z</dcterms:created>
  <dcterms:modified xsi:type="dcterms:W3CDTF">2021-11-15T07:54:07Z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1049-10.1.0.5503</vt:lpwstr>
  </property>
</Properties>
</file>