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ОБЩИЕ документы по отделу\Бланки, журналы\Неразрушающий контроль\ГОСТ 18105-2018\Для монолита\"/>
    </mc:Choice>
  </mc:AlternateContent>
  <bookViews>
    <workbookView xWindow="0" yWindow="120" windowWidth="16380" windowHeight="8070" tabRatio="594"/>
  </bookViews>
  <sheets>
    <sheet name="1" sheetId="66" r:id="rId1"/>
  </sheets>
  <definedNames>
    <definedName name="_xlnm.Print_Area" localSheetId="0">'1'!$A$1:$L$69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0" i="66" l="1"/>
  <c r="A62" i="66" l="1"/>
  <c r="K36" i="66" l="1"/>
  <c r="A25" i="66" l="1"/>
  <c r="N50" i="66" l="1"/>
  <c r="N51" i="66"/>
  <c r="N52" i="66"/>
  <c r="N53" i="66"/>
  <c r="N54" i="66"/>
  <c r="N55" i="66"/>
  <c r="N56" i="66"/>
  <c r="N57" i="66"/>
  <c r="N58" i="66"/>
  <c r="N59" i="66"/>
  <c r="N60" i="66"/>
  <c r="K35" i="66"/>
  <c r="K32" i="66"/>
  <c r="N43" i="66" s="1"/>
  <c r="K31" i="66"/>
  <c r="K30" i="66"/>
  <c r="N44" i="66" l="1"/>
  <c r="N48" i="66"/>
  <c r="N46" i="66"/>
  <c r="N42" i="66"/>
  <c r="N41" i="66"/>
  <c r="N49" i="66"/>
  <c r="N47" i="66"/>
  <c r="N45" i="66"/>
  <c r="K39" i="66"/>
  <c r="I42" i="66"/>
  <c r="K38" i="66"/>
  <c r="C16" i="66" l="1"/>
  <c r="B31" i="66" l="1"/>
  <c r="B32" i="66" s="1"/>
  <c r="B33" i="66" s="1"/>
  <c r="B34" i="66" s="1"/>
  <c r="B35" i="66" s="1"/>
  <c r="B36" i="66" s="1"/>
  <c r="B37" i="66" s="1"/>
  <c r="B38" i="66" s="1"/>
  <c r="B39" i="66" s="1"/>
  <c r="H12" i="66"/>
  <c r="C55" i="66"/>
  <c r="A55" i="66" l="1"/>
  <c r="Q62" i="66"/>
  <c r="Q64" i="66"/>
  <c r="Q66" i="66"/>
  <c r="Q68" i="66"/>
  <c r="Q69" i="66"/>
  <c r="Q65" i="66"/>
  <c r="Q67" i="66"/>
  <c r="Q63" i="66"/>
  <c r="Q51" i="66"/>
  <c r="Q53" i="66"/>
  <c r="Q55" i="66"/>
  <c r="Q57" i="66"/>
  <c r="Q59" i="66"/>
  <c r="Q61" i="66"/>
  <c r="Q52" i="66"/>
  <c r="Q54" i="66"/>
  <c r="Q56" i="66"/>
  <c r="Q58" i="66"/>
  <c r="Q60" i="66"/>
  <c r="Q50" i="66"/>
  <c r="O41" i="66" l="1"/>
  <c r="O49" i="66"/>
  <c r="O45" i="66"/>
  <c r="O52" i="66"/>
  <c r="O48" i="66"/>
  <c r="O44" i="66"/>
  <c r="O54" i="66"/>
  <c r="O56" i="66"/>
  <c r="O59" i="66"/>
  <c r="O55" i="66"/>
  <c r="O51" i="66"/>
  <c r="O47" i="66"/>
  <c r="O43" i="66"/>
  <c r="O50" i="66"/>
  <c r="O46" i="66"/>
  <c r="O42" i="66"/>
  <c r="O58" i="66"/>
  <c r="O60" i="66"/>
  <c r="O57" i="66"/>
  <c r="O53" i="66"/>
  <c r="K37" i="66" l="1"/>
  <c r="F42" i="66" s="1"/>
  <c r="H42" i="66" s="1"/>
  <c r="F43" i="66" s="1"/>
  <c r="B55" i="66"/>
  <c r="A56" i="66" l="1"/>
</calcChain>
</file>

<file path=xl/sharedStrings.xml><?xml version="1.0" encoding="utf-8"?>
<sst xmlns="http://schemas.openxmlformats.org/spreadsheetml/2006/main" count="69" uniqueCount="67">
  <si>
    <t>ПРОТОКОЛ №</t>
  </si>
  <si>
    <t>определение прочности бетона неразрушающим методом</t>
  </si>
  <si>
    <t>Дата испытаний:</t>
  </si>
  <si>
    <t xml:space="preserve">Конструкция: </t>
  </si>
  <si>
    <t>Нормативная документация на продукцию:</t>
  </si>
  <si>
    <t>Проектные показатели бетона по прочности:</t>
  </si>
  <si>
    <t>Изготовитель бетона</t>
  </si>
  <si>
    <t>Дата бетонирования</t>
  </si>
  <si>
    <t>Возраст к моменту испытаний</t>
  </si>
  <si>
    <t>суток</t>
  </si>
  <si>
    <t>Номер площадки</t>
  </si>
  <si>
    <t>Дата измерений</t>
  </si>
  <si>
    <t>Показатели</t>
  </si>
  <si>
    <t>Величина</t>
  </si>
  <si>
    <t>1. Сумма (∑Ri), МПа</t>
  </si>
  <si>
    <t>Вф</t>
  </si>
  <si>
    <t>≥</t>
  </si>
  <si>
    <t>ЗАКЛЮЧЕНИЕ:</t>
  </si>
  <si>
    <t>Ri  сред., МПа</t>
  </si>
  <si>
    <r>
      <t>Объект:</t>
    </r>
    <r>
      <rPr>
        <sz val="12"/>
        <color rgb="FF000000"/>
        <rFont val="Times New Roman"/>
        <family val="1"/>
        <charset val="204"/>
      </rPr>
      <t xml:space="preserve"> "Транспортная развязка на пересечении МКАД с Волоколамским шоссе. Эстакада №3 (съезд с внешней стороны МКАД на Волоколамское шоссе в центр)"</t>
    </r>
  </si>
  <si>
    <t>МТФ "Мокон"</t>
  </si>
  <si>
    <t>В40</t>
  </si>
  <si>
    <t>Барьерное ограждение пролетного строения 3.9-3.10, 3.10-3.11 ось 2</t>
  </si>
  <si>
    <t>190/3</t>
  </si>
  <si>
    <t>Протокол не может быть воспроизведен полностью или частично без письменного разрешения испытательной лаборатории</t>
  </si>
  <si>
    <t>СТРОИТЕЛЬНАЯ ЛАБОРАТОРИЯ Мостоотряд-41</t>
  </si>
  <si>
    <t>Чувашская республика, г.Чебоксары, проезд Лапсарский, д.41</t>
  </si>
  <si>
    <t>монолитных конструкций по ГОСТ 18105-2018</t>
  </si>
  <si>
    <t>Инженер строительной лаборатории</t>
  </si>
  <si>
    <t>Липин К.Н.</t>
  </si>
  <si>
    <t>Начальник строительной лаборатории</t>
  </si>
  <si>
    <t>Минеева Я.А.</t>
  </si>
  <si>
    <t>Оборудование: ИПС МГ 4.01 зав.№7070 сертификат о калибровке №1/460к до 27.02.2021 г.</t>
  </si>
  <si>
    <t>2. Количество наблюдений (n), шт</t>
  </si>
  <si>
    <t>3. Среднее арифметическое (Rm), МПа</t>
  </si>
  <si>
    <t>4. Класс по прочности "В", МПа</t>
  </si>
  <si>
    <t>5. Требуемая доля проектного класса, %</t>
  </si>
  <si>
    <t>6. Требуемая доля проектного класса, МПа</t>
  </si>
  <si>
    <t>Ri-Rm</t>
  </si>
  <si>
    <t>(Ri-Rm)^2</t>
  </si>
  <si>
    <t>Справочные данные:</t>
  </si>
  <si>
    <t>n</t>
  </si>
  <si>
    <t>Vm</t>
  </si>
  <si>
    <t>Промежуточные расчеты:</t>
  </si>
  <si>
    <t>Возраст конструкции</t>
  </si>
  <si>
    <t>в промежуточном возрасте.</t>
  </si>
  <si>
    <t>в проектном возрасте.</t>
  </si>
  <si>
    <t>&lt;28</t>
  </si>
  <si>
    <t>=&gt;28</t>
  </si>
  <si>
    <t>ГОСТ 26633-2015, ГОСТ 7473-2010</t>
  </si>
  <si>
    <t>Условия приемки бетона по прочности по ГОСТ 18105-2018 "Бетона. Правила контроля и оценки прочности" (п.8.5.2):</t>
  </si>
  <si>
    <t>Внорм</t>
  </si>
  <si>
    <t>7. Среднеквадратические отклонение Sm, МПа</t>
  </si>
  <si>
    <t>Таблица 2 ГОСТ 18105-2018</t>
  </si>
  <si>
    <t>α</t>
  </si>
  <si>
    <t>8. Коэффициент вариации текущий Vm, %</t>
  </si>
  <si>
    <t>Таблица 3 ГОСТ 18105-2018</t>
  </si>
  <si>
    <t>9. Коэффициент вариации граничный Vr, %</t>
  </si>
  <si>
    <t>Vr</t>
  </si>
  <si>
    <t>10. Фактический класс бетона Вф, МПа</t>
  </si>
  <si>
    <t>Условие возможности контроля по схеме Г</t>
  </si>
  <si>
    <t>≤</t>
  </si>
  <si>
    <r>
      <t xml:space="preserve">Применяется при ограниченном допуске к бетону по </t>
    </r>
    <r>
      <rPr>
        <b/>
        <sz val="11"/>
        <color rgb="FF000000"/>
        <rFont val="Times New Roman"/>
        <family val="1"/>
        <charset val="204"/>
      </rPr>
      <t>Схеме Г</t>
    </r>
    <r>
      <rPr>
        <sz val="11"/>
        <color rgb="FF000000"/>
        <rFont val="Times New Roman"/>
        <family val="1"/>
        <charset val="204"/>
      </rPr>
      <t xml:space="preserve"> ГОСТ 18105-2018.</t>
    </r>
  </si>
  <si>
    <t>Градуировочная зависимость не строится</t>
  </si>
  <si>
    <t xml:space="preserve">Метод испытания - по контрольным образцам ГОСТ 10180-2012; </t>
  </si>
  <si>
    <t>Аттестат аккредитации испытательной лаборатории</t>
  </si>
  <si>
    <t>№RU.МСС.АЛ.1095 от 18.12.2020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</si>
</sst>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"/>
  </numFmts>
  <fonts count="30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.5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0" tint="-4.9989318521683403E-2"/>
      <name val="Calibri"/>
      <family val="2"/>
      <charset val="204"/>
    </font>
    <font>
      <sz val="11"/>
      <color theme="0" tint="-4.9989318521683403E-2"/>
      <name val="Calibri"/>
      <family val="2"/>
      <charset val="204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2"/>
      <color rgb="FFFFFFFF"/>
      <name val="Calibri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name val="Calibri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1" fillId="0" borderId="0"/>
  </cellStyleXfs>
  <cellXfs count="11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12" fillId="2" borderId="0" xfId="0" applyFont="1" applyFill="1" applyBorder="1" applyAlignment="1"/>
    <xf numFmtId="0" fontId="1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4" fillId="2" borderId="0" xfId="0" applyFont="1" applyFill="1"/>
    <xf numFmtId="14" fontId="13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3" xfId="0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164" fontId="1" fillId="2" borderId="0" xfId="0" applyNumberFormat="1" applyFont="1" applyFill="1" applyBorder="1"/>
    <xf numFmtId="14" fontId="1" fillId="2" borderId="0" xfId="0" applyNumberFormat="1" applyFont="1" applyFill="1" applyBorder="1"/>
    <xf numFmtId="0" fontId="15" fillId="2" borderId="0" xfId="0" applyFont="1" applyFill="1"/>
    <xf numFmtId="0" fontId="14" fillId="2" borderId="0" xfId="0" applyFont="1" applyFill="1"/>
    <xf numFmtId="0" fontId="8" fillId="2" borderId="0" xfId="0" applyFont="1" applyFill="1"/>
    <xf numFmtId="0" fontId="9" fillId="2" borderId="0" xfId="0" applyFont="1" applyFill="1"/>
    <xf numFmtId="14" fontId="1" fillId="2" borderId="0" xfId="0" applyNumberFormat="1" applyFont="1" applyFill="1"/>
    <xf numFmtId="0" fontId="6" fillId="2" borderId="0" xfId="0" applyFont="1" applyFill="1"/>
    <xf numFmtId="0" fontId="16" fillId="2" borderId="0" xfId="0" applyFont="1" applyFill="1"/>
    <xf numFmtId="0" fontId="7" fillId="2" borderId="0" xfId="0" applyFont="1" applyFill="1" applyAlignment="1">
      <alignment horizontal="right"/>
    </xf>
    <xf numFmtId="0" fontId="4" fillId="2" borderId="1" xfId="0" applyFont="1" applyFill="1" applyBorder="1"/>
    <xf numFmtId="0" fontId="2" fillId="2" borderId="2" xfId="0" applyFont="1" applyFill="1" applyBorder="1" applyAlignment="1">
      <alignment horizontal="center"/>
    </xf>
    <xf numFmtId="49" fontId="19" fillId="2" borderId="0" xfId="0" applyNumberFormat="1" applyFont="1" applyFill="1" applyAlignment="1">
      <alignment horizontal="center"/>
    </xf>
    <xf numFmtId="164" fontId="10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22" fillId="3" borderId="0" xfId="1" applyFont="1" applyFill="1" applyAlignment="1" applyProtection="1">
      <alignment horizontal="left"/>
      <protection locked="0"/>
    </xf>
    <xf numFmtId="0" fontId="0" fillId="2" borderId="1" xfId="0" applyFill="1" applyBorder="1"/>
    <xf numFmtId="0" fontId="3" fillId="2" borderId="2" xfId="0" applyFont="1" applyFill="1" applyBorder="1"/>
    <xf numFmtId="0" fontId="0" fillId="2" borderId="2" xfId="0" applyFill="1" applyBorder="1"/>
    <xf numFmtId="14" fontId="2" fillId="2" borderId="1" xfId="0" applyNumberFormat="1" applyFont="1" applyFill="1" applyBorder="1" applyAlignment="1">
      <alignment horizontal="left"/>
    </xf>
    <xf numFmtId="0" fontId="0" fillId="0" borderId="0" xfId="0" applyAlignment="1"/>
    <xf numFmtId="0" fontId="0" fillId="2" borderId="0" xfId="0" applyFill="1" applyAlignment="1">
      <alignment horizontal="left"/>
    </xf>
    <xf numFmtId="0" fontId="23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0" fontId="1" fillId="2" borderId="3" xfId="0" applyFont="1" applyFill="1" applyBorder="1"/>
    <xf numFmtId="0" fontId="0" fillId="2" borderId="3" xfId="0" applyFill="1" applyBorder="1"/>
    <xf numFmtId="0" fontId="7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5" fillId="2" borderId="0" xfId="0" applyFont="1" applyFill="1" applyBorder="1" applyAlignment="1"/>
    <xf numFmtId="0" fontId="0" fillId="2" borderId="0" xfId="0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18" fillId="2" borderId="0" xfId="0" applyFont="1" applyFill="1"/>
    <xf numFmtId="0" fontId="26" fillId="2" borderId="0" xfId="0" applyFont="1" applyFill="1"/>
    <xf numFmtId="0" fontId="17" fillId="2" borderId="0" xfId="0" applyFont="1" applyFill="1" applyBorder="1"/>
    <xf numFmtId="164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3" xfId="0" quotePrefix="1" applyFill="1" applyBorder="1"/>
    <xf numFmtId="0" fontId="27" fillId="2" borderId="0" xfId="0" applyFont="1" applyFill="1"/>
    <xf numFmtId="0" fontId="18" fillId="2" borderId="0" xfId="0" applyFont="1" applyFill="1" applyBorder="1" applyAlignment="1">
      <alignment horizontal="center"/>
    </xf>
    <xf numFmtId="164" fontId="18" fillId="2" borderId="0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0" fontId="19" fillId="2" borderId="0" xfId="0" applyFont="1" applyFill="1"/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justify" vertical="top" wrapText="1"/>
    </xf>
    <xf numFmtId="0" fontId="1" fillId="2" borderId="0" xfId="0" applyFont="1" applyFill="1" applyBorder="1" applyAlignment="1">
      <alignment shrinkToFit="1"/>
    </xf>
    <xf numFmtId="0" fontId="13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justify" vertical="top" wrapText="1"/>
    </xf>
    <xf numFmtId="0" fontId="0" fillId="2" borderId="3" xfId="0" applyFont="1" applyFill="1" applyBorder="1" applyAlignment="1">
      <alignment horizontal="center"/>
    </xf>
    <xf numFmtId="164" fontId="10" fillId="2" borderId="6" xfId="0" applyNumberFormat="1" applyFont="1" applyFill="1" applyBorder="1" applyAlignment="1">
      <alignment vertical="center"/>
    </xf>
    <xf numFmtId="164" fontId="28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13" fillId="2" borderId="0" xfId="0" applyFont="1" applyFill="1" applyAlignment="1">
      <alignment horizontal="left" vertical="top" wrapText="1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164" fontId="10" fillId="2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66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801440</xdr:colOff>
      <xdr:row>48</xdr:row>
      <xdr:rowOff>156439</xdr:rowOff>
    </xdr:from>
    <xdr:to>
      <xdr:col>9</xdr:col>
      <xdr:colOff>203942</xdr:colOff>
      <xdr:row>49</xdr:row>
      <xdr:rowOff>182843</xdr:rowOff>
    </xdr:to>
    <xdr:sp macro="" textlink="">
      <xdr:nvSpPr>
        <xdr:cNvPr id="2" name="TextBox 1"/>
        <xdr:cNvSpPr txBox="1"/>
      </xdr:nvSpPr>
      <xdr:spPr>
        <a:xfrm>
          <a:off x="6354515" y="10910164"/>
          <a:ext cx="250227" cy="226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ru-RU" sz="1400"/>
        </a:p>
      </xdr:txBody>
    </xdr:sp>
    <xdr:clientData/>
  </xdr:twoCellAnchor>
  <xdr:twoCellAnchor editAs="oneCell">
    <xdr:from>
      <xdr:col>5</xdr:col>
      <xdr:colOff>179529</xdr:colOff>
      <xdr:row>45</xdr:row>
      <xdr:rowOff>108856</xdr:rowOff>
    </xdr:from>
    <xdr:to>
      <xdr:col>11</xdr:col>
      <xdr:colOff>223472</xdr:colOff>
      <xdr:row>56</xdr:row>
      <xdr:rowOff>108934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9029" y="9348106"/>
          <a:ext cx="4194122" cy="2245257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1</xdr:row>
      <xdr:rowOff>176893</xdr:rowOff>
    </xdr:from>
    <xdr:to>
      <xdr:col>4</xdr:col>
      <xdr:colOff>326572</xdr:colOff>
      <xdr:row>5</xdr:row>
      <xdr:rowOff>25732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2" y="367393"/>
          <a:ext cx="3401786" cy="651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81"/>
  <sheetViews>
    <sheetView tabSelected="1" view="pageBreakPreview" topLeftCell="A37" zoomScale="70" zoomScaleNormal="70" zoomScaleSheetLayoutView="70" workbookViewId="0">
      <selection activeCell="A62" sqref="A62:L63"/>
    </sheetView>
  </sheetViews>
  <sheetFormatPr defaultRowHeight="15" x14ac:dyDescent="0.25"/>
  <cols>
    <col min="1" max="1" width="10.85546875" style="5" customWidth="1"/>
    <col min="2" max="2" width="11.7109375" style="5" customWidth="1"/>
    <col min="3" max="3" width="13.42578125" style="5" customWidth="1"/>
    <col min="4" max="4" width="10.7109375" style="5" customWidth="1"/>
    <col min="5" max="5" width="9.140625" style="5"/>
    <col min="6" max="6" width="13" style="5" customWidth="1"/>
    <col min="7" max="7" width="9.140625" style="5" customWidth="1"/>
    <col min="8" max="8" width="7" style="5" customWidth="1"/>
    <col min="9" max="9" width="12.7109375" style="5" customWidth="1"/>
    <col min="10" max="10" width="9.140625" style="5"/>
    <col min="11" max="11" width="11.140625" style="5" customWidth="1"/>
    <col min="12" max="17" width="9.140625" style="5"/>
    <col min="18" max="19" width="10.7109375" style="5" bestFit="1" customWidth="1"/>
    <col min="20" max="20" width="11.85546875" style="5" customWidth="1"/>
    <col min="21" max="1025" width="9.140625" style="5"/>
    <col min="1026" max="16384" width="9.140625" style="3"/>
  </cols>
  <sheetData>
    <row r="1" spans="1:20" x14ac:dyDescent="0.25">
      <c r="A1" s="96" t="s">
        <v>24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5" t="s">
        <v>62</v>
      </c>
    </row>
    <row r="2" spans="1:20" ht="15.75" x14ac:dyDescent="0.25">
      <c r="A2" s="8"/>
      <c r="B2" s="2"/>
      <c r="C2" s="3"/>
      <c r="D2" s="37"/>
      <c r="E2" s="37"/>
      <c r="F2" s="3"/>
      <c r="G2" s="3"/>
      <c r="H2" s="4"/>
      <c r="J2" s="4"/>
      <c r="K2" s="4"/>
      <c r="L2" s="4"/>
      <c r="M2" s="4" t="s">
        <v>63</v>
      </c>
    </row>
    <row r="3" spans="1:20" ht="15.75" x14ac:dyDescent="0.25">
      <c r="B3" s="2"/>
      <c r="C3" s="3"/>
      <c r="D3" s="3"/>
      <c r="E3" s="3"/>
      <c r="F3" s="98" t="s">
        <v>25</v>
      </c>
      <c r="G3" s="98"/>
      <c r="H3" s="98"/>
      <c r="I3" s="98"/>
      <c r="J3" s="98"/>
      <c r="K3" s="98"/>
      <c r="L3" s="98"/>
      <c r="M3" s="4"/>
    </row>
    <row r="4" spans="1:20" ht="15" customHeight="1" x14ac:dyDescent="0.25">
      <c r="B4" s="2"/>
      <c r="C4" s="3"/>
      <c r="D4" s="3"/>
      <c r="E4" s="3"/>
      <c r="F4" s="39" t="s">
        <v>26</v>
      </c>
      <c r="G4" s="3"/>
      <c r="H4" s="4"/>
      <c r="J4" s="4"/>
      <c r="K4" s="4"/>
      <c r="L4" s="4"/>
      <c r="M4" s="53" t="s">
        <v>40</v>
      </c>
    </row>
    <row r="5" spans="1:20" ht="15.75" x14ac:dyDescent="0.25">
      <c r="A5" s="3"/>
      <c r="B5" s="2"/>
      <c r="C5" s="3"/>
      <c r="D5" s="3"/>
      <c r="E5" s="3"/>
      <c r="F5" s="88" t="s">
        <v>65</v>
      </c>
      <c r="G5" s="3"/>
      <c r="H5" s="3"/>
      <c r="I5" s="6"/>
      <c r="J5" s="6"/>
      <c r="K5" s="6"/>
      <c r="L5" s="6"/>
      <c r="M5" s="6" t="s">
        <v>53</v>
      </c>
      <c r="P5" s="5" t="s">
        <v>56</v>
      </c>
    </row>
    <row r="6" spans="1:20" ht="15.75" customHeight="1" x14ac:dyDescent="0.25">
      <c r="A6" s="3"/>
      <c r="B6" s="3"/>
      <c r="C6" s="3"/>
      <c r="D6" s="3"/>
      <c r="E6" s="3"/>
      <c r="F6" s="6" t="s">
        <v>66</v>
      </c>
      <c r="G6" s="3"/>
      <c r="H6" s="3"/>
      <c r="I6" s="7"/>
      <c r="J6" s="6"/>
      <c r="K6" s="6"/>
      <c r="L6" s="6"/>
      <c r="M6" s="50" t="s">
        <v>41</v>
      </c>
      <c r="N6" s="78" t="s">
        <v>54</v>
      </c>
      <c r="P6" s="48" t="s">
        <v>41</v>
      </c>
      <c r="Q6" s="48" t="s">
        <v>58</v>
      </c>
      <c r="S6" s="48" t="s">
        <v>44</v>
      </c>
      <c r="T6" s="48"/>
    </row>
    <row r="7" spans="1:20" x14ac:dyDescent="0.25">
      <c r="A7" s="3"/>
      <c r="B7" s="3"/>
      <c r="C7" s="3"/>
      <c r="D7" s="3"/>
      <c r="E7" s="3"/>
      <c r="F7" s="3"/>
      <c r="G7" s="3"/>
      <c r="H7" s="3"/>
      <c r="I7" s="6"/>
      <c r="J7" s="6"/>
      <c r="K7" s="6"/>
      <c r="L7" s="6"/>
      <c r="M7" s="51">
        <v>2</v>
      </c>
      <c r="N7" s="51">
        <v>2.57</v>
      </c>
      <c r="P7" s="49">
        <v>3</v>
      </c>
      <c r="Q7" s="48">
        <v>4</v>
      </c>
      <c r="S7" s="49" t="s">
        <v>47</v>
      </c>
      <c r="T7" s="48" t="s">
        <v>45</v>
      </c>
    </row>
    <row r="8" spans="1:20" ht="15.75" customHeight="1" x14ac:dyDescent="0.25">
      <c r="A8" s="97" t="s">
        <v>19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51">
        <v>3</v>
      </c>
      <c r="N8" s="51">
        <v>2.4500000000000002</v>
      </c>
      <c r="P8" s="48">
        <v>4</v>
      </c>
      <c r="Q8" s="48">
        <v>5</v>
      </c>
      <c r="S8" s="63" t="s">
        <v>48</v>
      </c>
      <c r="T8" s="48" t="s">
        <v>46</v>
      </c>
    </row>
    <row r="9" spans="1:20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51">
        <v>4</v>
      </c>
      <c r="N9" s="51">
        <v>2.36</v>
      </c>
      <c r="P9" s="49">
        <v>5</v>
      </c>
      <c r="Q9" s="48">
        <v>6</v>
      </c>
    </row>
    <row r="10" spans="1:20" x14ac:dyDescent="0.2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51">
        <v>5</v>
      </c>
      <c r="N10" s="51">
        <v>2.31</v>
      </c>
      <c r="P10" s="48">
        <v>6</v>
      </c>
      <c r="Q10" s="48">
        <v>6.5</v>
      </c>
    </row>
    <row r="11" spans="1:20" ht="15.75" x14ac:dyDescent="0.25">
      <c r="A11" s="3"/>
      <c r="B11" s="3"/>
      <c r="C11" s="3"/>
      <c r="D11" s="2"/>
      <c r="E11" s="2"/>
      <c r="F11" s="2"/>
      <c r="G11" s="2"/>
      <c r="H11" s="2"/>
      <c r="I11" s="2"/>
      <c r="J11" s="2"/>
      <c r="K11" s="2"/>
      <c r="L11" s="3"/>
      <c r="M11" s="51">
        <v>6</v>
      </c>
      <c r="N11" s="51">
        <v>2.2599999999999998</v>
      </c>
      <c r="P11" s="48">
        <v>7</v>
      </c>
      <c r="Q11" s="48">
        <v>7</v>
      </c>
    </row>
    <row r="12" spans="1:20" ht="15.75" x14ac:dyDescent="0.25">
      <c r="A12" s="3"/>
      <c r="B12" s="3"/>
      <c r="C12" s="3"/>
      <c r="D12" s="2"/>
      <c r="E12" s="100" t="s">
        <v>0</v>
      </c>
      <c r="F12" s="100"/>
      <c r="G12" s="35" t="s">
        <v>23</v>
      </c>
      <c r="H12" s="99" t="str">
        <f>"от "&amp;TEXT(C16,"дд.ММ.ГГГГ")</f>
        <v>от 07.08.2020</v>
      </c>
      <c r="I12" s="99"/>
      <c r="J12" s="2"/>
      <c r="K12" s="2"/>
      <c r="L12" s="3"/>
      <c r="M12" s="51">
        <v>7</v>
      </c>
      <c r="N12" s="51">
        <v>2.23</v>
      </c>
      <c r="P12" s="49">
        <v>8</v>
      </c>
      <c r="Q12" s="48">
        <v>7.5</v>
      </c>
    </row>
    <row r="13" spans="1:20" ht="15.75" x14ac:dyDescent="0.25">
      <c r="A13" s="3"/>
      <c r="B13" s="3"/>
      <c r="C13" s="3"/>
      <c r="D13" s="92" t="s">
        <v>1</v>
      </c>
      <c r="E13" s="92"/>
      <c r="F13" s="92"/>
      <c r="G13" s="92"/>
      <c r="H13" s="92"/>
      <c r="I13" s="92"/>
      <c r="J13" s="92"/>
      <c r="K13" s="3"/>
      <c r="L13" s="3"/>
      <c r="M13" s="51">
        <v>8</v>
      </c>
      <c r="N13" s="51">
        <v>2.2000000000000002</v>
      </c>
      <c r="P13" s="48">
        <v>9</v>
      </c>
      <c r="Q13" s="48">
        <v>7.75</v>
      </c>
    </row>
    <row r="14" spans="1:20" ht="15.75" x14ac:dyDescent="0.25">
      <c r="A14" s="3"/>
      <c r="B14" s="3"/>
      <c r="C14" s="3"/>
      <c r="D14" s="92" t="s">
        <v>27</v>
      </c>
      <c r="E14" s="92"/>
      <c r="F14" s="92"/>
      <c r="G14" s="92"/>
      <c r="H14" s="92"/>
      <c r="I14" s="92"/>
      <c r="J14" s="92"/>
      <c r="K14" s="3"/>
      <c r="L14" s="3"/>
      <c r="P14" s="49">
        <v>10</v>
      </c>
      <c r="Q14" s="48">
        <v>8</v>
      </c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P15" s="48">
        <v>11</v>
      </c>
      <c r="Q15" s="48">
        <v>8.1999999999999993</v>
      </c>
    </row>
    <row r="16" spans="1:20" ht="15.75" x14ac:dyDescent="0.25">
      <c r="A16" s="1" t="s">
        <v>2</v>
      </c>
      <c r="B16" s="2"/>
      <c r="C16" s="9">
        <f>F22+F23</f>
        <v>44050</v>
      </c>
      <c r="D16" s="10"/>
      <c r="E16" s="10"/>
      <c r="F16" s="10"/>
      <c r="G16" s="10"/>
      <c r="H16" s="10"/>
      <c r="I16" s="40"/>
      <c r="J16" s="40"/>
      <c r="K16" s="40"/>
      <c r="L16" s="40"/>
      <c r="P16" s="48">
        <v>12</v>
      </c>
      <c r="Q16" s="48">
        <v>8.4</v>
      </c>
    </row>
    <row r="17" spans="1:19" ht="15.75" x14ac:dyDescent="0.25">
      <c r="A17" s="1" t="s">
        <v>3</v>
      </c>
      <c r="B17" s="2"/>
      <c r="C17" s="13" t="s">
        <v>22</v>
      </c>
      <c r="D17" s="13"/>
      <c r="E17" s="13"/>
      <c r="F17" s="13"/>
      <c r="G17" s="41"/>
      <c r="H17" s="41"/>
      <c r="I17" s="42"/>
      <c r="J17" s="42"/>
      <c r="K17" s="42"/>
      <c r="L17" s="42"/>
      <c r="P17" s="48">
        <v>13</v>
      </c>
      <c r="Q17" s="48">
        <v>8.6</v>
      </c>
    </row>
    <row r="18" spans="1:19" ht="15.75" x14ac:dyDescent="0.25">
      <c r="A18" s="2"/>
      <c r="B18" s="2"/>
      <c r="C18" s="2"/>
      <c r="D18" s="2"/>
      <c r="E18" s="2"/>
      <c r="F18" s="2"/>
      <c r="G18" s="2"/>
      <c r="H18" s="2"/>
      <c r="I18" s="3"/>
      <c r="J18" s="3"/>
      <c r="K18" s="3"/>
      <c r="L18" s="3"/>
      <c r="P18" s="48">
        <v>14</v>
      </c>
      <c r="Q18" s="48">
        <v>8.8000000000000007</v>
      </c>
    </row>
    <row r="19" spans="1:19" ht="15.75" x14ac:dyDescent="0.25">
      <c r="A19" s="1" t="s">
        <v>4</v>
      </c>
      <c r="B19" s="2"/>
      <c r="C19" s="2"/>
      <c r="D19" s="2"/>
      <c r="E19" s="2"/>
      <c r="F19" s="11" t="s">
        <v>49</v>
      </c>
      <c r="G19" s="10"/>
      <c r="H19" s="10"/>
      <c r="I19" s="40"/>
      <c r="J19" s="3"/>
      <c r="K19" s="3"/>
      <c r="L19" s="3"/>
      <c r="P19" s="49">
        <v>15</v>
      </c>
      <c r="Q19" s="48">
        <v>9</v>
      </c>
      <c r="R19" s="29"/>
      <c r="S19" s="29"/>
    </row>
    <row r="20" spans="1:19" ht="15.75" x14ac:dyDescent="0.25">
      <c r="A20" s="1" t="s">
        <v>5</v>
      </c>
      <c r="B20" s="2"/>
      <c r="C20" s="2"/>
      <c r="D20" s="2"/>
      <c r="E20" s="2"/>
      <c r="F20" s="11" t="s">
        <v>21</v>
      </c>
      <c r="G20" s="10"/>
      <c r="H20" s="10"/>
      <c r="I20" s="40"/>
      <c r="J20" s="3"/>
      <c r="K20" s="3"/>
      <c r="L20" s="3"/>
      <c r="P20" s="48">
        <v>16</v>
      </c>
      <c r="Q20" s="48">
        <v>9.1999999999999993</v>
      </c>
    </row>
    <row r="21" spans="1:19" ht="15.75" x14ac:dyDescent="0.25">
      <c r="A21" s="1" t="s">
        <v>6</v>
      </c>
      <c r="B21" s="2"/>
      <c r="C21" s="2"/>
      <c r="D21" s="2"/>
      <c r="E21" s="2"/>
      <c r="F21" s="33" t="s">
        <v>20</v>
      </c>
      <c r="G21" s="10"/>
      <c r="H21" s="41"/>
      <c r="I21" s="42"/>
      <c r="J21" s="3"/>
      <c r="K21" s="3"/>
      <c r="L21" s="3"/>
      <c r="M21" s="54"/>
      <c r="N21" s="22"/>
      <c r="P21" s="48">
        <v>17</v>
      </c>
      <c r="Q21" s="48">
        <v>9.4</v>
      </c>
    </row>
    <row r="22" spans="1:19" ht="15.75" x14ac:dyDescent="0.25">
      <c r="A22" s="1" t="s">
        <v>7</v>
      </c>
      <c r="B22" s="2"/>
      <c r="C22" s="2"/>
      <c r="D22" s="2"/>
      <c r="E22" s="2"/>
      <c r="F22" s="43">
        <v>44043</v>
      </c>
      <c r="G22" s="10"/>
      <c r="H22" s="41"/>
      <c r="I22" s="42"/>
      <c r="J22" s="3"/>
      <c r="K22" s="3"/>
      <c r="L22" s="3"/>
      <c r="M22" s="3"/>
      <c r="P22" s="48">
        <v>18</v>
      </c>
      <c r="Q22" s="48">
        <v>9.6</v>
      </c>
    </row>
    <row r="23" spans="1:19" ht="15.75" x14ac:dyDescent="0.25">
      <c r="A23" s="1" t="s">
        <v>8</v>
      </c>
      <c r="B23" s="2"/>
      <c r="C23" s="2"/>
      <c r="D23" s="2"/>
      <c r="E23" s="2"/>
      <c r="F23" s="34">
        <v>7</v>
      </c>
      <c r="G23" s="11" t="s">
        <v>9</v>
      </c>
      <c r="H23" s="10"/>
      <c r="I23" s="40"/>
      <c r="J23" s="3"/>
      <c r="K23" s="3"/>
      <c r="L23" s="3"/>
      <c r="M23" s="3"/>
      <c r="P23" s="48">
        <v>19</v>
      </c>
      <c r="Q23" s="48">
        <v>9.8000000000000007</v>
      </c>
    </row>
    <row r="24" spans="1:19" ht="15.75" x14ac:dyDescent="0.25">
      <c r="A24" s="1" t="s">
        <v>64</v>
      </c>
      <c r="B24" s="2"/>
      <c r="C24" s="2"/>
      <c r="D24" s="2"/>
      <c r="E24" s="2"/>
      <c r="F24" s="2"/>
      <c r="G24" s="1"/>
      <c r="H24" s="2"/>
      <c r="I24" s="3"/>
      <c r="J24" s="3"/>
      <c r="K24" s="3"/>
      <c r="L24" s="3"/>
      <c r="M24" s="3"/>
      <c r="P24" s="48">
        <v>20</v>
      </c>
      <c r="Q24" s="48">
        <v>10</v>
      </c>
    </row>
    <row r="25" spans="1:19" ht="15.75" x14ac:dyDescent="0.25">
      <c r="A25" s="1" t="str">
        <f>"Партия - каждая отдельная конструкция, отдельные захватки или зоны конструкции "&amp;IF(F23&lt;28,T7,T8)</f>
        <v>Партия - каждая отдельная конструкция, отдельные захватки или зоны конструкции в промежуточном возрасте.</v>
      </c>
      <c r="B25" s="2"/>
      <c r="C25" s="2"/>
      <c r="D25" s="2"/>
      <c r="E25" s="2"/>
      <c r="F25" s="2"/>
      <c r="G25" s="1"/>
      <c r="H25" s="2"/>
      <c r="I25" s="3"/>
      <c r="J25" s="3"/>
      <c r="K25" s="3"/>
      <c r="L25" s="3"/>
      <c r="M25" s="3"/>
      <c r="P25" s="48">
        <v>21</v>
      </c>
      <c r="Q25" s="48">
        <v>10.199999999999999</v>
      </c>
    </row>
    <row r="26" spans="1:19" ht="15.75" x14ac:dyDescent="0.25">
      <c r="A26" s="1" t="s">
        <v>32</v>
      </c>
      <c r="B26" s="2"/>
      <c r="C26" s="2"/>
      <c r="D26" s="2"/>
      <c r="E26" s="2"/>
      <c r="F26" s="2"/>
      <c r="G26" s="1"/>
      <c r="H26" s="2"/>
      <c r="I26" s="3"/>
      <c r="J26" s="3"/>
      <c r="K26" s="3"/>
      <c r="L26" s="3"/>
      <c r="M26" s="3"/>
      <c r="P26" s="48">
        <v>22</v>
      </c>
      <c r="Q26" s="48">
        <v>10.4</v>
      </c>
    </row>
    <row r="27" spans="1:19" ht="15.75" x14ac:dyDescent="0.25">
      <c r="A27" s="1"/>
      <c r="B27" s="1"/>
      <c r="C27" s="2"/>
      <c r="D27" s="2"/>
      <c r="E27" s="2"/>
      <c r="F27" s="2"/>
      <c r="G27" s="2"/>
      <c r="H27" s="2"/>
      <c r="I27" s="3"/>
      <c r="J27" s="3"/>
      <c r="K27" s="3"/>
      <c r="L27" s="3"/>
      <c r="M27" s="3"/>
      <c r="P27" s="48">
        <v>23</v>
      </c>
      <c r="Q27" s="48">
        <v>10.6</v>
      </c>
    </row>
    <row r="28" spans="1:19" x14ac:dyDescent="0.25">
      <c r="A28" s="46"/>
      <c r="B28" s="38"/>
      <c r="C28" s="47"/>
      <c r="D28" s="38"/>
      <c r="E28" s="46"/>
      <c r="F28" s="45"/>
      <c r="G28" s="46"/>
      <c r="H28" s="45"/>
      <c r="I28" s="3"/>
      <c r="J28" s="32"/>
      <c r="K28" s="45"/>
      <c r="L28" s="3"/>
      <c r="P28" s="48">
        <v>24</v>
      </c>
      <c r="Q28" s="48">
        <v>10.8</v>
      </c>
    </row>
    <row r="29" spans="1:19" ht="15.75" customHeight="1" x14ac:dyDescent="0.25">
      <c r="A29" s="93" t="s">
        <v>10</v>
      </c>
      <c r="B29" s="93" t="s">
        <v>11</v>
      </c>
      <c r="C29" s="94" t="s">
        <v>18</v>
      </c>
      <c r="D29" s="95"/>
      <c r="E29" s="16"/>
      <c r="F29" s="12" t="s">
        <v>12</v>
      </c>
      <c r="G29" s="13"/>
      <c r="H29" s="13"/>
      <c r="I29" s="13"/>
      <c r="J29" s="14"/>
      <c r="K29" s="15" t="s">
        <v>13</v>
      </c>
      <c r="L29" s="16"/>
      <c r="P29" s="48">
        <v>25</v>
      </c>
      <c r="Q29" s="48">
        <v>11</v>
      </c>
    </row>
    <row r="30" spans="1:19" ht="18" customHeight="1" x14ac:dyDescent="0.25">
      <c r="A30" s="93"/>
      <c r="B30" s="93"/>
      <c r="C30" s="94"/>
      <c r="D30" s="95"/>
      <c r="E30" s="17"/>
      <c r="F30" s="89" t="s">
        <v>14</v>
      </c>
      <c r="G30" s="90"/>
      <c r="H30" s="90"/>
      <c r="I30" s="90"/>
      <c r="J30" s="91"/>
      <c r="K30" s="55">
        <f>SUM(C31:C50)</f>
        <v>337.9</v>
      </c>
      <c r="L30" s="17"/>
      <c r="P30" s="48">
        <v>26</v>
      </c>
      <c r="Q30" s="48">
        <v>11.2</v>
      </c>
    </row>
    <row r="31" spans="1:19" ht="15.75" x14ac:dyDescent="0.25">
      <c r="A31" s="18">
        <v>1</v>
      </c>
      <c r="B31" s="19">
        <f>C16</f>
        <v>44050</v>
      </c>
      <c r="C31" s="86">
        <v>35.299999999999997</v>
      </c>
      <c r="D31" s="87"/>
      <c r="E31" s="21"/>
      <c r="F31" s="89" t="s">
        <v>33</v>
      </c>
      <c r="G31" s="90"/>
      <c r="H31" s="90"/>
      <c r="I31" s="90"/>
      <c r="J31" s="91"/>
      <c r="K31" s="56">
        <f>COUNT(A31:A50)</f>
        <v>9</v>
      </c>
      <c r="L31" s="21"/>
      <c r="P31" s="48">
        <v>27</v>
      </c>
      <c r="Q31" s="48">
        <v>11.4</v>
      </c>
    </row>
    <row r="32" spans="1:19" ht="16.5" customHeight="1" x14ac:dyDescent="0.25">
      <c r="A32" s="18">
        <v>2</v>
      </c>
      <c r="B32" s="19">
        <f>B31</f>
        <v>44050</v>
      </c>
      <c r="C32" s="86">
        <v>35</v>
      </c>
      <c r="D32" s="87"/>
      <c r="E32" s="21"/>
      <c r="F32" s="89" t="s">
        <v>34</v>
      </c>
      <c r="G32" s="90"/>
      <c r="H32" s="90"/>
      <c r="I32" s="90"/>
      <c r="J32" s="91"/>
      <c r="K32" s="55">
        <f>SUM(C31:C50)/K31</f>
        <v>37.544444444444444</v>
      </c>
      <c r="L32" s="21"/>
      <c r="P32" s="48">
        <v>28</v>
      </c>
      <c r="Q32" s="48">
        <v>11.6</v>
      </c>
    </row>
    <row r="33" spans="1:23" ht="15.75" x14ac:dyDescent="0.25">
      <c r="A33" s="18">
        <v>3</v>
      </c>
      <c r="B33" s="19">
        <f t="shared" ref="B33:B39" si="0">B32</f>
        <v>44050</v>
      </c>
      <c r="C33" s="86">
        <v>34.9</v>
      </c>
      <c r="D33" s="87"/>
      <c r="E33" s="21"/>
      <c r="F33" s="89" t="s">
        <v>35</v>
      </c>
      <c r="G33" s="90"/>
      <c r="H33" s="90"/>
      <c r="I33" s="90"/>
      <c r="J33" s="91"/>
      <c r="K33" s="57">
        <v>40</v>
      </c>
      <c r="L33" s="21"/>
      <c r="P33" s="48">
        <v>29</v>
      </c>
      <c r="Q33" s="48">
        <v>11.8</v>
      </c>
    </row>
    <row r="34" spans="1:23" ht="15.75" x14ac:dyDescent="0.25">
      <c r="A34" s="18">
        <v>4</v>
      </c>
      <c r="B34" s="19">
        <f t="shared" si="0"/>
        <v>44050</v>
      </c>
      <c r="C34" s="86">
        <v>40</v>
      </c>
      <c r="D34" s="87"/>
      <c r="E34" s="21"/>
      <c r="F34" s="89" t="s">
        <v>36</v>
      </c>
      <c r="G34" s="90"/>
      <c r="H34" s="90"/>
      <c r="I34" s="90"/>
      <c r="J34" s="91"/>
      <c r="K34" s="56">
        <v>75</v>
      </c>
      <c r="L34" s="21"/>
      <c r="P34" s="48">
        <v>30</v>
      </c>
      <c r="Q34" s="48">
        <v>12</v>
      </c>
    </row>
    <row r="35" spans="1:23" ht="15.75" x14ac:dyDescent="0.25">
      <c r="A35" s="18">
        <v>5</v>
      </c>
      <c r="B35" s="19">
        <f t="shared" si="0"/>
        <v>44050</v>
      </c>
      <c r="C35" s="86">
        <v>40</v>
      </c>
      <c r="D35" s="87"/>
      <c r="E35" s="21"/>
      <c r="F35" s="89" t="s">
        <v>37</v>
      </c>
      <c r="G35" s="90"/>
      <c r="H35" s="90"/>
      <c r="I35" s="90"/>
      <c r="J35" s="91"/>
      <c r="K35" s="55">
        <f>K33*K34/100</f>
        <v>30</v>
      </c>
      <c r="L35" s="21"/>
    </row>
    <row r="36" spans="1:23" ht="15.75" x14ac:dyDescent="0.25">
      <c r="A36" s="18">
        <v>6</v>
      </c>
      <c r="B36" s="19">
        <f t="shared" si="0"/>
        <v>44050</v>
      </c>
      <c r="C36" s="86">
        <v>35.700000000000003</v>
      </c>
      <c r="D36" s="87"/>
      <c r="E36" s="21"/>
      <c r="F36" s="89" t="s">
        <v>52</v>
      </c>
      <c r="G36" s="90"/>
      <c r="H36" s="90"/>
      <c r="I36" s="90"/>
      <c r="J36" s="91"/>
      <c r="K36" s="55">
        <f>IF(K31&gt;8,POWER(SUM(O41:O60)/(K31-1),0.5),(LARGE(C31:C50,1)-SMALL(C31:C50,1))/VLOOKUP(K31,M6:N13,2,FALSE))</f>
        <v>3.4699103414609693</v>
      </c>
      <c r="L36" s="21"/>
    </row>
    <row r="37" spans="1:23" ht="15.75" x14ac:dyDescent="0.25">
      <c r="A37" s="18">
        <v>7</v>
      </c>
      <c r="B37" s="19">
        <f t="shared" si="0"/>
        <v>44050</v>
      </c>
      <c r="C37" s="86">
        <v>45</v>
      </c>
      <c r="D37" s="87"/>
      <c r="E37" s="21"/>
      <c r="F37" s="89" t="s">
        <v>55</v>
      </c>
      <c r="G37" s="90"/>
      <c r="H37" s="90"/>
      <c r="I37" s="90"/>
      <c r="J37" s="91"/>
      <c r="K37" s="55">
        <f>K36/K32*100</f>
        <v>9.2421405957823985</v>
      </c>
      <c r="L37" s="21"/>
    </row>
    <row r="38" spans="1:23" ht="18.75" x14ac:dyDescent="0.3">
      <c r="A38" s="18">
        <v>8</v>
      </c>
      <c r="B38" s="19">
        <f t="shared" si="0"/>
        <v>44050</v>
      </c>
      <c r="C38" s="86">
        <v>35</v>
      </c>
      <c r="D38" s="87"/>
      <c r="E38" s="21"/>
      <c r="F38" s="89" t="s">
        <v>57</v>
      </c>
      <c r="G38" s="90"/>
      <c r="H38" s="90"/>
      <c r="I38" s="90"/>
      <c r="J38" s="91"/>
      <c r="K38" s="81">
        <f>VLOOKUP(K31,P6:Q34,2,FALSE)</f>
        <v>7.75</v>
      </c>
      <c r="L38" s="21"/>
      <c r="M38" s="64" t="s">
        <v>43</v>
      </c>
    </row>
    <row r="39" spans="1:23" ht="15.75" x14ac:dyDescent="0.25">
      <c r="A39" s="18">
        <v>9</v>
      </c>
      <c r="B39" s="19">
        <f t="shared" si="0"/>
        <v>44050</v>
      </c>
      <c r="C39" s="86">
        <v>37</v>
      </c>
      <c r="D39" s="87"/>
      <c r="E39" s="21"/>
      <c r="F39" s="89" t="s">
        <v>59</v>
      </c>
      <c r="G39" s="90"/>
      <c r="H39" s="90"/>
      <c r="I39" s="90"/>
      <c r="J39" s="91"/>
      <c r="K39" s="55">
        <f>ROUND(K32*0.8,1)</f>
        <v>30</v>
      </c>
      <c r="L39" s="21"/>
    </row>
    <row r="40" spans="1:23" ht="15.75" x14ac:dyDescent="0.25">
      <c r="A40" s="18"/>
      <c r="B40" s="19"/>
      <c r="C40" s="86"/>
      <c r="D40" s="87"/>
      <c r="E40" s="21"/>
      <c r="F40" s="113" t="s">
        <v>60</v>
      </c>
      <c r="G40" s="113"/>
      <c r="H40" s="113"/>
      <c r="I40" s="113"/>
      <c r="J40" s="113"/>
      <c r="K40" s="79"/>
      <c r="L40" s="21"/>
      <c r="M40" s="22"/>
      <c r="N40" s="22" t="s">
        <v>38</v>
      </c>
      <c r="O40" s="22" t="s">
        <v>39</v>
      </c>
    </row>
    <row r="41" spans="1:23" ht="15.75" x14ac:dyDescent="0.25">
      <c r="A41" s="18"/>
      <c r="B41" s="19"/>
      <c r="C41" s="86"/>
      <c r="D41" s="87"/>
      <c r="E41" s="21"/>
      <c r="F41" s="105" t="s">
        <v>42</v>
      </c>
      <c r="G41" s="106"/>
      <c r="H41" s="80" t="s">
        <v>61</v>
      </c>
      <c r="I41" s="105" t="s">
        <v>58</v>
      </c>
      <c r="J41" s="106"/>
      <c r="K41" s="21"/>
      <c r="L41" s="21"/>
      <c r="M41" s="22"/>
      <c r="N41" s="20">
        <f t="shared" ref="N41:N60" si="1">IF(C31="","",C31-$K$32)</f>
        <v>-2.2444444444444471</v>
      </c>
      <c r="O41" s="48">
        <f>IF(N41="","",POWER(N41,2))</f>
        <v>5.0375308641975431</v>
      </c>
    </row>
    <row r="42" spans="1:23" ht="15.75" x14ac:dyDescent="0.25">
      <c r="A42" s="18"/>
      <c r="B42" s="19"/>
      <c r="C42" s="86"/>
      <c r="D42" s="87"/>
      <c r="E42" s="21"/>
      <c r="F42" s="107">
        <f>K37</f>
        <v>9.2421405957823985</v>
      </c>
      <c r="G42" s="108"/>
      <c r="H42" s="36" t="str">
        <f>IF(F42&lt;I42,"&lt;",IF(F42=I42,"=","&gt;"))</f>
        <v>&gt;</v>
      </c>
      <c r="I42" s="109">
        <f>K38</f>
        <v>7.75</v>
      </c>
      <c r="J42" s="110"/>
      <c r="K42" s="21"/>
      <c r="L42" s="21"/>
      <c r="M42" s="22"/>
      <c r="N42" s="20">
        <f t="shared" si="1"/>
        <v>-2.5444444444444443</v>
      </c>
      <c r="O42" s="48">
        <f t="shared" ref="O42:O60" si="2">IF(N42="","",POWER(N42,2))</f>
        <v>6.4741975308641964</v>
      </c>
    </row>
    <row r="43" spans="1:23" ht="15.75" x14ac:dyDescent="0.25">
      <c r="A43" s="18"/>
      <c r="B43" s="19"/>
      <c r="C43" s="86"/>
      <c r="D43" s="87"/>
      <c r="E43" s="21"/>
      <c r="F43" s="111" t="str">
        <f>IF(H42="&gt;","Нельзя применять схему Г","Можно применять схему Г")</f>
        <v>Нельзя применять схему Г</v>
      </c>
      <c r="G43" s="111"/>
      <c r="H43" s="111"/>
      <c r="I43" s="111"/>
      <c r="J43" s="111"/>
      <c r="K43" s="21"/>
      <c r="L43" s="21"/>
      <c r="M43" s="22"/>
      <c r="N43" s="20">
        <f t="shared" si="1"/>
        <v>-2.6444444444444457</v>
      </c>
      <c r="O43" s="48">
        <f t="shared" si="2"/>
        <v>6.9930864197530935</v>
      </c>
    </row>
    <row r="44" spans="1:23" s="5" customFormat="1" ht="15.75" x14ac:dyDescent="0.25">
      <c r="A44" s="18"/>
      <c r="B44" s="19"/>
      <c r="C44" s="86"/>
      <c r="D44" s="87"/>
      <c r="E44" s="21"/>
      <c r="F44" s="21"/>
      <c r="G44" s="21"/>
      <c r="H44" s="21"/>
      <c r="I44" s="21"/>
      <c r="J44" s="21"/>
      <c r="K44" s="21"/>
      <c r="L44" s="21"/>
      <c r="M44" s="22"/>
      <c r="N44" s="20">
        <f t="shared" si="1"/>
        <v>2.4555555555555557</v>
      </c>
      <c r="O44" s="48">
        <f t="shared" si="2"/>
        <v>6.0297530864197535</v>
      </c>
    </row>
    <row r="45" spans="1:23" s="5" customFormat="1" ht="15.75" x14ac:dyDescent="0.25">
      <c r="A45" s="18"/>
      <c r="B45" s="19"/>
      <c r="C45" s="86"/>
      <c r="D45" s="87"/>
      <c r="E45" s="21"/>
      <c r="F45" s="1"/>
      <c r="G45" s="21"/>
      <c r="H45" s="21"/>
      <c r="I45" s="21"/>
      <c r="J45" s="21"/>
      <c r="K45" s="21"/>
      <c r="L45" s="21"/>
      <c r="M45" s="22"/>
      <c r="N45" s="20">
        <f t="shared" si="1"/>
        <v>2.4555555555555557</v>
      </c>
      <c r="O45" s="48">
        <f t="shared" si="2"/>
        <v>6.0297530864197535</v>
      </c>
    </row>
    <row r="46" spans="1:23" s="5" customFormat="1" ht="15.75" x14ac:dyDescent="0.25">
      <c r="A46" s="18"/>
      <c r="B46" s="19"/>
      <c r="C46" s="86"/>
      <c r="D46" s="87"/>
      <c r="E46" s="21"/>
      <c r="F46" s="3"/>
      <c r="G46" s="3"/>
      <c r="H46" s="3"/>
      <c r="I46" s="3"/>
      <c r="J46" s="3"/>
      <c r="K46" s="3"/>
      <c r="L46" s="21"/>
      <c r="M46" s="22"/>
      <c r="N46" s="20">
        <f t="shared" si="1"/>
        <v>-1.8444444444444414</v>
      </c>
      <c r="O46" s="48">
        <f t="shared" si="2"/>
        <v>3.4019753086419642</v>
      </c>
    </row>
    <row r="47" spans="1:23" s="5" customFormat="1" ht="15.75" x14ac:dyDescent="0.25">
      <c r="A47" s="18"/>
      <c r="B47" s="19"/>
      <c r="C47" s="86"/>
      <c r="D47" s="87"/>
      <c r="E47" s="21"/>
      <c r="F47" s="31"/>
      <c r="G47" s="59"/>
      <c r="H47" s="59"/>
      <c r="I47" s="59"/>
      <c r="J47" s="22"/>
      <c r="K47" s="22"/>
      <c r="L47" s="21"/>
      <c r="M47" s="22"/>
      <c r="N47" s="20">
        <f t="shared" si="1"/>
        <v>7.4555555555555557</v>
      </c>
      <c r="O47" s="48">
        <f t="shared" si="2"/>
        <v>55.58530864197531</v>
      </c>
    </row>
    <row r="48" spans="1:23" s="5" customFormat="1" ht="15.75" x14ac:dyDescent="0.25">
      <c r="A48" s="18"/>
      <c r="B48" s="19"/>
      <c r="C48" s="86"/>
      <c r="D48" s="87"/>
      <c r="E48" s="21"/>
      <c r="F48" s="31"/>
      <c r="G48" s="59"/>
      <c r="H48" s="59"/>
      <c r="I48" s="59"/>
      <c r="J48" s="23"/>
      <c r="K48" s="24"/>
      <c r="L48" s="21"/>
      <c r="M48" s="22"/>
      <c r="N48" s="20">
        <f t="shared" si="1"/>
        <v>-2.5444444444444443</v>
      </c>
      <c r="O48" s="48">
        <f t="shared" si="2"/>
        <v>6.4741975308641964</v>
      </c>
      <c r="R48" s="22"/>
      <c r="S48" s="22"/>
      <c r="T48" s="22"/>
      <c r="U48" s="22"/>
      <c r="V48" s="22"/>
      <c r="W48" s="22"/>
    </row>
    <row r="49" spans="1:23" s="5" customFormat="1" ht="15.75" x14ac:dyDescent="0.25">
      <c r="A49" s="18"/>
      <c r="B49" s="19"/>
      <c r="C49" s="86"/>
      <c r="D49" s="87"/>
      <c r="E49" s="21"/>
      <c r="F49" s="65"/>
      <c r="G49" s="59"/>
      <c r="H49" s="59"/>
      <c r="I49" s="60"/>
      <c r="J49" s="23"/>
      <c r="K49" s="24"/>
      <c r="L49" s="21"/>
      <c r="M49" s="22"/>
      <c r="N49" s="20">
        <f t="shared" si="1"/>
        <v>-0.54444444444444429</v>
      </c>
      <c r="O49" s="48">
        <f t="shared" si="2"/>
        <v>0.2964197530864196</v>
      </c>
      <c r="P49" s="75"/>
      <c r="R49" s="22"/>
      <c r="S49" s="82"/>
      <c r="T49" s="82"/>
      <c r="U49" s="82"/>
      <c r="V49" s="82"/>
      <c r="W49" s="22"/>
    </row>
    <row r="50" spans="1:23" s="5" customFormat="1" ht="15.75" x14ac:dyDescent="0.25">
      <c r="A50" s="18"/>
      <c r="B50" s="19"/>
      <c r="C50" s="86"/>
      <c r="D50" s="87"/>
      <c r="E50" s="21"/>
      <c r="F50" s="66"/>
      <c r="G50" s="59"/>
      <c r="H50" s="59"/>
      <c r="I50" s="60"/>
      <c r="J50" s="23"/>
      <c r="K50" s="24"/>
      <c r="L50" s="21"/>
      <c r="M50" s="22"/>
      <c r="N50" s="20" t="str">
        <f t="shared" si="1"/>
        <v/>
      </c>
      <c r="O50" s="48" t="str">
        <f t="shared" si="2"/>
        <v/>
      </c>
      <c r="Q50" s="5" t="str">
        <f>IF(P50&gt;8,P50,"")</f>
        <v/>
      </c>
      <c r="R50" s="82"/>
      <c r="S50" s="83"/>
      <c r="T50" s="82"/>
      <c r="U50" s="82"/>
      <c r="V50" s="22"/>
      <c r="W50" s="22"/>
    </row>
    <row r="51" spans="1:23" s="5" customFormat="1" ht="15.75" customHeight="1" x14ac:dyDescent="0.25">
      <c r="F51" s="77"/>
      <c r="G51" s="77"/>
      <c r="H51" s="77"/>
      <c r="I51" s="77"/>
      <c r="J51" s="77"/>
      <c r="K51" s="77"/>
      <c r="L51" s="3"/>
      <c r="M51" s="22"/>
      <c r="N51" s="20" t="str">
        <f t="shared" si="1"/>
        <v/>
      </c>
      <c r="O51" s="48" t="str">
        <f t="shared" si="2"/>
        <v/>
      </c>
      <c r="Q51" s="5" t="str">
        <f t="shared" ref="Q51:Q69" si="3">IF(P51&gt;8,P51,"")</f>
        <v/>
      </c>
      <c r="R51" s="82"/>
      <c r="S51" s="84"/>
      <c r="T51" s="85"/>
      <c r="U51" s="85"/>
      <c r="V51" s="22"/>
      <c r="W51" s="22"/>
    </row>
    <row r="52" spans="1:23" s="5" customFormat="1" ht="15.75" customHeight="1" x14ac:dyDescent="0.25">
      <c r="A52" s="112" t="s">
        <v>50</v>
      </c>
      <c r="B52" s="112"/>
      <c r="C52" s="112"/>
      <c r="D52" s="112"/>
      <c r="E52" s="112"/>
      <c r="F52" s="77"/>
      <c r="G52" s="77"/>
      <c r="H52" s="77"/>
      <c r="I52" s="77"/>
      <c r="J52" s="77"/>
      <c r="K52" s="77"/>
      <c r="L52" s="22"/>
      <c r="M52" s="22"/>
      <c r="N52" s="20" t="str">
        <f t="shared" si="1"/>
        <v/>
      </c>
      <c r="O52" s="48" t="str">
        <f t="shared" si="2"/>
        <v/>
      </c>
      <c r="Q52" s="5" t="str">
        <f t="shared" si="3"/>
        <v/>
      </c>
      <c r="R52" s="22"/>
      <c r="S52" s="22"/>
      <c r="T52" s="22"/>
      <c r="U52" s="22"/>
      <c r="V52" s="22"/>
      <c r="W52" s="22"/>
    </row>
    <row r="53" spans="1:23" s="5" customFormat="1" ht="15.75" x14ac:dyDescent="0.25">
      <c r="A53" s="112"/>
      <c r="B53" s="112"/>
      <c r="C53" s="112"/>
      <c r="D53" s="112"/>
      <c r="E53" s="112"/>
      <c r="F53" s="76"/>
      <c r="G53" s="76"/>
      <c r="H53" s="76"/>
      <c r="I53" s="76"/>
      <c r="J53" s="76"/>
      <c r="K53" s="76"/>
      <c r="L53" s="23"/>
      <c r="M53" s="22"/>
      <c r="N53" s="20" t="str">
        <f t="shared" si="1"/>
        <v/>
      </c>
      <c r="O53" s="48" t="str">
        <f t="shared" si="2"/>
        <v/>
      </c>
      <c r="Q53" s="5" t="str">
        <f t="shared" si="3"/>
        <v/>
      </c>
    </row>
    <row r="54" spans="1:23" s="5" customFormat="1" ht="15.75" customHeight="1" x14ac:dyDescent="0.25">
      <c r="A54" s="70" t="s">
        <v>15</v>
      </c>
      <c r="B54" s="71" t="s">
        <v>16</v>
      </c>
      <c r="C54" s="72" t="s">
        <v>51</v>
      </c>
      <c r="D54" s="31"/>
      <c r="E54" s="31"/>
      <c r="F54" s="76"/>
      <c r="G54" s="76"/>
      <c r="H54" s="76"/>
      <c r="I54" s="76"/>
      <c r="J54" s="76"/>
      <c r="K54" s="76"/>
      <c r="L54" s="23"/>
      <c r="M54" s="22"/>
      <c r="N54" s="20" t="str">
        <f t="shared" si="1"/>
        <v/>
      </c>
      <c r="O54" s="48" t="str">
        <f t="shared" si="2"/>
        <v/>
      </c>
      <c r="Q54" s="5" t="str">
        <f t="shared" si="3"/>
        <v/>
      </c>
    </row>
    <row r="55" spans="1:23" s="5" customFormat="1" ht="15.75" x14ac:dyDescent="0.25">
      <c r="A55" s="67">
        <f>K39</f>
        <v>30</v>
      </c>
      <c r="B55" s="71" t="str">
        <f>IF(A55&gt;C55,"&gt;",IF(A55=C55,"=","&lt;"))</f>
        <v>=</v>
      </c>
      <c r="C55" s="68">
        <f>K35</f>
        <v>30</v>
      </c>
      <c r="D55" s="73"/>
      <c r="E55" s="73"/>
      <c r="F55" s="74"/>
      <c r="G55" s="74"/>
      <c r="H55" s="74"/>
      <c r="I55" s="74"/>
      <c r="J55" s="74"/>
      <c r="K55" s="74"/>
      <c r="L55" s="23"/>
      <c r="M55" s="22"/>
      <c r="N55" s="20" t="str">
        <f t="shared" si="1"/>
        <v/>
      </c>
      <c r="O55" s="48" t="str">
        <f t="shared" si="2"/>
        <v/>
      </c>
      <c r="Q55" s="5" t="str">
        <f t="shared" si="3"/>
        <v/>
      </c>
    </row>
    <row r="56" spans="1:23" s="5" customFormat="1" ht="15.75" customHeight="1" x14ac:dyDescent="0.25">
      <c r="A56" s="102" t="str">
        <f>IF(B55="&gt;","условие выполняется",IF(B55="=","условие выполняется","условие не выполняется"))</f>
        <v>условие выполняется</v>
      </c>
      <c r="B56" s="103"/>
      <c r="C56" s="104"/>
      <c r="D56" s="66"/>
      <c r="E56" s="73"/>
      <c r="F56" s="74"/>
      <c r="G56" s="74"/>
      <c r="H56" s="74"/>
      <c r="I56" s="74"/>
      <c r="J56" s="74"/>
      <c r="K56" s="74"/>
      <c r="L56" s="77"/>
      <c r="M56" s="22"/>
      <c r="N56" s="20" t="str">
        <f t="shared" si="1"/>
        <v/>
      </c>
      <c r="O56" s="48" t="str">
        <f t="shared" si="2"/>
        <v/>
      </c>
      <c r="Q56" s="5" t="str">
        <f t="shared" si="3"/>
        <v/>
      </c>
    </row>
    <row r="57" spans="1:23" s="5" customFormat="1" ht="15.75" customHeight="1" x14ac:dyDescent="0.25">
      <c r="F57" s="74"/>
      <c r="G57" s="74"/>
      <c r="H57" s="74"/>
      <c r="I57" s="74"/>
      <c r="J57" s="74"/>
      <c r="K57" s="74"/>
      <c r="L57" s="77"/>
      <c r="M57" s="22"/>
      <c r="N57" s="20" t="str">
        <f t="shared" si="1"/>
        <v/>
      </c>
      <c r="O57" s="48" t="str">
        <f t="shared" si="2"/>
        <v/>
      </c>
      <c r="Q57" s="5" t="str">
        <f t="shared" si="3"/>
        <v/>
      </c>
    </row>
    <row r="58" spans="1:23" s="5" customFormat="1" ht="15.75" customHeight="1" x14ac:dyDescent="0.25">
      <c r="F58" s="74"/>
      <c r="G58" s="74"/>
      <c r="H58" s="74"/>
      <c r="I58" s="74"/>
      <c r="J58" s="74"/>
      <c r="K58" s="74"/>
      <c r="L58" s="76"/>
      <c r="M58" s="22"/>
      <c r="N58" s="20" t="str">
        <f t="shared" si="1"/>
        <v/>
      </c>
      <c r="O58" s="48" t="str">
        <f t="shared" si="2"/>
        <v/>
      </c>
      <c r="Q58" s="5" t="str">
        <f t="shared" si="3"/>
        <v/>
      </c>
    </row>
    <row r="59" spans="1:23" s="5" customFormat="1" ht="15.75" customHeight="1" x14ac:dyDescent="0.25">
      <c r="A59" s="69" t="s">
        <v>17</v>
      </c>
      <c r="B59" s="76"/>
      <c r="C59" s="76"/>
      <c r="D59" s="76"/>
      <c r="E59" s="76"/>
      <c r="F59" s="73"/>
      <c r="G59" s="73"/>
      <c r="H59" s="58"/>
      <c r="I59" s="59"/>
      <c r="J59" s="3"/>
      <c r="K59" s="3"/>
      <c r="L59" s="76"/>
      <c r="M59" s="22"/>
      <c r="N59" s="20" t="str">
        <f t="shared" si="1"/>
        <v/>
      </c>
      <c r="O59" s="48" t="str">
        <f t="shared" si="2"/>
        <v/>
      </c>
      <c r="Q59" s="5" t="str">
        <f t="shared" si="3"/>
        <v/>
      </c>
    </row>
    <row r="60" spans="1:23" s="5" customFormat="1" ht="15.75" customHeight="1" x14ac:dyDescent="0.25">
      <c r="A60" s="101" t="str">
        <f>"Фактический класс бетона по прочности монолитной конструкции (Вф) равен "&amp;TEXT(K39,"##,0")&amp;"МПа, что "&amp;IF(B55="&gt;","не менее",IF(B55="=","не менее","менее"))&amp;IF(F23&gt;=28," требуемого класса В"," требуемой доли класса В")&amp;K33&amp;". Следовательно, "&amp;IF(OR(B55="&gt;",B55="="),"выполняется требуемое стандартное условие.","не выполняется требуемое стандартное условие.")</f>
        <v>Фактический класс бетона по прочности монолитной конструкции (Вф) равен 30,0МПа, что не менее требуемой доли класса В40. Следовательно, выполняется требуемое стандартное условие.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22"/>
      <c r="N60" s="20" t="str">
        <f t="shared" si="1"/>
        <v/>
      </c>
      <c r="O60" s="48" t="str">
        <f t="shared" si="2"/>
        <v/>
      </c>
      <c r="Q60" s="5" t="str">
        <f t="shared" si="3"/>
        <v/>
      </c>
    </row>
    <row r="61" spans="1:23" s="5" customFormat="1" ht="15.75" customHeight="1" x14ac:dyDescent="0.2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Q61" s="5" t="str">
        <f t="shared" si="3"/>
        <v/>
      </c>
    </row>
    <row r="62" spans="1:23" s="5" customFormat="1" ht="15.75" customHeight="1" x14ac:dyDescent="0.25">
      <c r="A62" s="101" t="str">
        <f>"Единичная монолитная конструкция (партия) проектного класса В"&amp;K33&amp;" в возрасте "&amp;F23&amp;" суток "&amp;IF(OR(B55="&gt;",B55="="),"подлежит приемке","не подлежит приемке")&amp;" c "&amp;TEXT(K39/K33*100,"##,0")&amp;"%-ной прочностью согласно ГОСТ 18105-2018."</f>
        <v>Единичная монолитная конструкция (партия) проектного класса В40 в возрасте 7 суток подлежит приемке c 75,0%-ной прочностью согласно ГОСТ 18105-2018.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Q62" s="5" t="str">
        <f t="shared" si="3"/>
        <v/>
      </c>
    </row>
    <row r="63" spans="1:23" s="5" customFormat="1" ht="15.75" customHeight="1" x14ac:dyDescent="0.25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Q63" s="5" t="str">
        <f t="shared" si="3"/>
        <v/>
      </c>
    </row>
    <row r="64" spans="1:23" s="5" customFormat="1" ht="15.75" x14ac:dyDescent="0.25">
      <c r="A64" s="62"/>
      <c r="B64" s="58"/>
      <c r="C64" s="58"/>
      <c r="D64" s="58"/>
      <c r="E64" s="73"/>
      <c r="J64" s="44"/>
      <c r="K64" s="3"/>
      <c r="L64" s="3"/>
      <c r="Q64" s="5" t="str">
        <f t="shared" si="3"/>
        <v/>
      </c>
    </row>
    <row r="65" spans="1:17" s="5" customFormat="1" ht="15.75" x14ac:dyDescent="0.25">
      <c r="A65" s="61"/>
      <c r="B65" s="58"/>
      <c r="C65" s="31"/>
      <c r="D65" s="31"/>
      <c r="E65" s="31"/>
      <c r="J65" s="3"/>
      <c r="K65" s="3"/>
      <c r="L65" s="22"/>
      <c r="Q65" s="5" t="str">
        <f t="shared" si="3"/>
        <v/>
      </c>
    </row>
    <row r="66" spans="1:17" s="5" customFormat="1" ht="15.75" x14ac:dyDescent="0.25">
      <c r="A66" s="26"/>
      <c r="B66" s="26"/>
      <c r="C66" s="25"/>
      <c r="D66" s="27"/>
      <c r="E66" s="27"/>
      <c r="J66" s="3"/>
      <c r="K66" s="3"/>
      <c r="L66" s="22"/>
      <c r="Q66" s="5" t="str">
        <f t="shared" si="3"/>
        <v/>
      </c>
    </row>
    <row r="67" spans="1:17" s="5" customFormat="1" ht="15.75" x14ac:dyDescent="0.25">
      <c r="A67" s="1"/>
      <c r="B67"/>
      <c r="C67"/>
      <c r="D67" s="1"/>
      <c r="E67" s="1"/>
      <c r="F67" s="52" t="s">
        <v>28</v>
      </c>
      <c r="G67" s="1"/>
      <c r="H67" s="1"/>
      <c r="I67" s="1" t="s">
        <v>29</v>
      </c>
      <c r="J67" s="3"/>
      <c r="K67" s="3"/>
      <c r="Q67" s="5" t="str">
        <f t="shared" si="3"/>
        <v/>
      </c>
    </row>
    <row r="68" spans="1:17" s="5" customFormat="1" ht="15.75" x14ac:dyDescent="0.25">
      <c r="A68"/>
      <c r="B68"/>
      <c r="C68"/>
      <c r="D68" s="1"/>
      <c r="E68" s="1"/>
      <c r="F68" s="1"/>
      <c r="G68" s="1"/>
      <c r="H68" s="1"/>
      <c r="I68" s="1"/>
      <c r="J68" s="3"/>
      <c r="K68" s="3"/>
      <c r="Q68" s="5" t="str">
        <f t="shared" si="3"/>
        <v/>
      </c>
    </row>
    <row r="69" spans="1:17" s="5" customFormat="1" ht="15.75" x14ac:dyDescent="0.25">
      <c r="A69" s="44"/>
      <c r="B69"/>
      <c r="C69"/>
      <c r="D69" s="1"/>
      <c r="E69" s="1"/>
      <c r="F69" s="52" t="s">
        <v>30</v>
      </c>
      <c r="G69" s="1"/>
      <c r="H69" s="1"/>
      <c r="I69" s="1" t="s">
        <v>31</v>
      </c>
      <c r="J69" s="3"/>
      <c r="K69" s="3"/>
      <c r="Q69" s="5" t="str">
        <f t="shared" si="3"/>
        <v/>
      </c>
    </row>
    <row r="70" spans="1:17" s="5" customFormat="1" x14ac:dyDescent="0.25">
      <c r="J70" s="3"/>
      <c r="K70" s="3"/>
    </row>
    <row r="71" spans="1:17" s="5" customFormat="1" x14ac:dyDescent="0.25">
      <c r="J71" s="3"/>
      <c r="K71" s="3"/>
    </row>
    <row r="72" spans="1:17" s="5" customFormat="1" x14ac:dyDescent="0.25">
      <c r="J72" s="28"/>
      <c r="K72" s="28"/>
      <c r="N72" s="30"/>
    </row>
    <row r="73" spans="1:17" s="5" customFormat="1" x14ac:dyDescent="0.25">
      <c r="J73" s="28"/>
      <c r="K73" s="28"/>
    </row>
    <row r="74" spans="1:17" s="5" customFormat="1" x14ac:dyDescent="0.25">
      <c r="F74" s="3"/>
      <c r="G74" s="3"/>
      <c r="H74" s="3"/>
      <c r="I74" s="3"/>
      <c r="J74" s="3"/>
      <c r="K74" s="3"/>
    </row>
    <row r="75" spans="1:17" s="5" customFormat="1" x14ac:dyDescent="0.25">
      <c r="F75" s="3"/>
      <c r="G75" s="3"/>
      <c r="H75" s="3"/>
      <c r="I75" s="3"/>
      <c r="J75" s="3"/>
      <c r="K75" s="3"/>
    </row>
    <row r="76" spans="1:17" s="5" customFormat="1" x14ac:dyDescent="0.25">
      <c r="J76" s="22"/>
      <c r="K76" s="22"/>
    </row>
    <row r="77" spans="1:17" s="5" customFormat="1" ht="15.75" x14ac:dyDescent="0.25">
      <c r="N77" s="1"/>
    </row>
    <row r="78" spans="1:17" s="5" customFormat="1" x14ac:dyDescent="0.25"/>
    <row r="79" spans="1:17" s="5" customFormat="1" x14ac:dyDescent="0.25">
      <c r="B79" s="3"/>
      <c r="C79" s="3"/>
      <c r="D79" s="3"/>
      <c r="E79" s="3"/>
    </row>
    <row r="80" spans="1:17" s="5" customFormat="1" x14ac:dyDescent="0.25">
      <c r="B80" s="3"/>
      <c r="C80" s="3"/>
      <c r="D80" s="3"/>
      <c r="E80" s="3"/>
    </row>
    <row r="81" s="5" customFormat="1" x14ac:dyDescent="0.25"/>
  </sheetData>
  <mergeCells count="31">
    <mergeCell ref="A60:L61"/>
    <mergeCell ref="A62:L63"/>
    <mergeCell ref="F38:J38"/>
    <mergeCell ref="F39:J39"/>
    <mergeCell ref="A56:C56"/>
    <mergeCell ref="F41:G41"/>
    <mergeCell ref="I41:J41"/>
    <mergeCell ref="F42:G42"/>
    <mergeCell ref="I42:J42"/>
    <mergeCell ref="F43:J43"/>
    <mergeCell ref="A52:E53"/>
    <mergeCell ref="F40:J40"/>
    <mergeCell ref="F33:J33"/>
    <mergeCell ref="F34:J34"/>
    <mergeCell ref="F35:J35"/>
    <mergeCell ref="F36:J36"/>
    <mergeCell ref="F37:J37"/>
    <mergeCell ref="A1:L1"/>
    <mergeCell ref="A8:L10"/>
    <mergeCell ref="F3:L3"/>
    <mergeCell ref="H12:I12"/>
    <mergeCell ref="E12:F12"/>
    <mergeCell ref="F31:J31"/>
    <mergeCell ref="F32:J32"/>
    <mergeCell ref="D13:J13"/>
    <mergeCell ref="D14:J14"/>
    <mergeCell ref="A29:A30"/>
    <mergeCell ref="B29:B30"/>
    <mergeCell ref="C29:C30"/>
    <mergeCell ref="D29:D30"/>
    <mergeCell ref="F30:J30"/>
  </mergeCells>
  <conditionalFormatting sqref="F43:J43">
    <cfRule type="containsText" dxfId="0" priority="1" operator="containsText" text="Нельзя применять схему Г">
      <formula>NOT(ISERROR(SEARCH("Нельзя применять схему Г",F43)))</formula>
    </cfRule>
  </conditionalFormatting>
  <pageMargins left="0.70866141732283472" right="0.19685039370078741" top="0.39370078740157483" bottom="0.39370078740157483" header="0.51181102362204722" footer="0.51181102362204722"/>
  <pageSetup paperSize="9" scale="73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Долгов Алексей Владимирович</cp:lastModifiedBy>
  <cp:revision>12</cp:revision>
  <cp:lastPrinted>2020-12-19T05:28:18Z</cp:lastPrinted>
  <dcterms:created xsi:type="dcterms:W3CDTF">2016-05-25T07:00:43Z</dcterms:created>
  <dcterms:modified xsi:type="dcterms:W3CDTF">2021-04-13T09:55:08Z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